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nalisis Economico\Cambio Rural\capacitación agentes proyecto 2021\"/>
    </mc:Choice>
  </mc:AlternateContent>
  <bookViews>
    <workbookView xWindow="0" yWindow="0" windowWidth="19200" windowHeight="7392" tabRatio="862"/>
  </bookViews>
  <sheets>
    <sheet name="1.Datos" sheetId="1" r:id="rId1"/>
    <sheet name="2.Invent" sheetId="5" r:id="rId2"/>
    <sheet name="3.Nacim" sheetId="6" r:id="rId3"/>
    <sheet name="4.Muertes" sheetId="7" r:id="rId4"/>
    <sheet name="5.Indices" sheetId="8" r:id="rId5"/>
    <sheet name="6.Procreo" sheetId="4" r:id="rId6"/>
    <sheet name="7.Bienes" sheetId="16" r:id="rId7"/>
    <sheet name="8.Forrajes" sheetId="10" r:id="rId8"/>
    <sheet name="9.MdO" sheetId="11" r:id="rId9"/>
    <sheet name="10.GD" sheetId="12" r:id="rId10"/>
    <sheet name="11.Estr" sheetId="14" r:id="rId11"/>
    <sheet name="12.Resultados" sheetId="15" r:id="rId12"/>
    <sheet name="Anexo 1" sheetId="18" r:id="rId13"/>
    <sheet name="Dudas" sheetId="19" r:id="rId14"/>
  </sheets>
  <definedNames>
    <definedName name="ADPV">'2.Invent'!$G$26</definedName>
    <definedName name="ADPVHEMBRAS">'2.Invent'!$G$26</definedName>
    <definedName name="ADPVMACHOS">'2.Invent'!$K$26</definedName>
    <definedName name="MESGEST">'2.Invent'!$G$27</definedName>
    <definedName name="MESLACT">'2.Invent'!$G$28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D2" i="11" l="1"/>
  <c r="E12" i="12" l="1"/>
  <c r="F69" i="10" l="1"/>
  <c r="F68" i="10"/>
  <c r="F67" i="10"/>
  <c r="F66" i="10"/>
  <c r="F65" i="10"/>
  <c r="F63" i="10"/>
  <c r="F62" i="10"/>
  <c r="F61" i="10"/>
  <c r="F60" i="10"/>
  <c r="F59" i="10"/>
  <c r="E57" i="10"/>
  <c r="D57" i="10"/>
  <c r="F57" i="10" s="1"/>
  <c r="E56" i="10"/>
  <c r="D56" i="10"/>
  <c r="E55" i="10"/>
  <c r="D55" i="10"/>
  <c r="F55" i="10" s="1"/>
  <c r="E54" i="10"/>
  <c r="D54" i="10"/>
  <c r="E53" i="10"/>
  <c r="D53" i="10"/>
  <c r="F53" i="10" s="1"/>
  <c r="F46" i="10"/>
  <c r="F45" i="10"/>
  <c r="F44" i="10"/>
  <c r="F43" i="10"/>
  <c r="F42" i="10"/>
  <c r="F40" i="10"/>
  <c r="F39" i="10"/>
  <c r="F38" i="10"/>
  <c r="F37" i="10"/>
  <c r="F36" i="10"/>
  <c r="E34" i="10"/>
  <c r="D34" i="10"/>
  <c r="F34" i="10" s="1"/>
  <c r="E33" i="10"/>
  <c r="D33" i="10"/>
  <c r="E32" i="10"/>
  <c r="D32" i="10"/>
  <c r="F32" i="10" s="1"/>
  <c r="E31" i="10"/>
  <c r="D31" i="10"/>
  <c r="E30" i="10"/>
  <c r="D30" i="10"/>
  <c r="F30" i="10" s="1"/>
  <c r="S13" i="10"/>
  <c r="Z19" i="10"/>
  <c r="F33" i="10" l="1"/>
  <c r="F54" i="10"/>
  <c r="F31" i="10"/>
  <c r="F56" i="10"/>
  <c r="F70" i="10" s="1"/>
  <c r="F47" i="10"/>
  <c r="M138" i="10"/>
  <c r="M140" i="10"/>
  <c r="M139" i="10"/>
  <c r="D37" i="12"/>
  <c r="M137" i="10" l="1"/>
  <c r="L137" i="10"/>
  <c r="L138" i="10"/>
  <c r="L139" i="10"/>
  <c r="N139" i="10" s="1"/>
  <c r="L140" i="10"/>
  <c r="N140" i="10" s="1"/>
  <c r="D36" i="12"/>
  <c r="AA92" i="10"/>
  <c r="AA91" i="10"/>
  <c r="AA90" i="10"/>
  <c r="AA89" i="10"/>
  <c r="AA88" i="10"/>
  <c r="AA86" i="10"/>
  <c r="AA85" i="10"/>
  <c r="AA84" i="10"/>
  <c r="AA83" i="10"/>
  <c r="AA82" i="10"/>
  <c r="Z80" i="10"/>
  <c r="Y80" i="10"/>
  <c r="Z79" i="10"/>
  <c r="Y79" i="10"/>
  <c r="Z78" i="10"/>
  <c r="Y78" i="10"/>
  <c r="Z77" i="10"/>
  <c r="Y77" i="10"/>
  <c r="Z76" i="10"/>
  <c r="Y76" i="10"/>
  <c r="AA69" i="10"/>
  <c r="AA68" i="10"/>
  <c r="AA67" i="10"/>
  <c r="AA66" i="10"/>
  <c r="AA65" i="10"/>
  <c r="AA63" i="10"/>
  <c r="AA62" i="10"/>
  <c r="AA61" i="10"/>
  <c r="AA60" i="10"/>
  <c r="AA59" i="10"/>
  <c r="Z57" i="10"/>
  <c r="Y57" i="10"/>
  <c r="Z56" i="10"/>
  <c r="Y56" i="10"/>
  <c r="AA56" i="10" s="1"/>
  <c r="Z55" i="10"/>
  <c r="Y55" i="10"/>
  <c r="Z54" i="10"/>
  <c r="Y54" i="10"/>
  <c r="Z53" i="10"/>
  <c r="Y53" i="10"/>
  <c r="AA46" i="10"/>
  <c r="AA45" i="10"/>
  <c r="AA44" i="10"/>
  <c r="AA43" i="10"/>
  <c r="AA42" i="10"/>
  <c r="AA40" i="10"/>
  <c r="AA39" i="10"/>
  <c r="AA38" i="10"/>
  <c r="AA37" i="10"/>
  <c r="AA36" i="10"/>
  <c r="Z34" i="10"/>
  <c r="Y34" i="10"/>
  <c r="Z33" i="10"/>
  <c r="Y33" i="10"/>
  <c r="Z32" i="10"/>
  <c r="Y32" i="10"/>
  <c r="Z31" i="10"/>
  <c r="Y31" i="10"/>
  <c r="AA31" i="10" s="1"/>
  <c r="Z30" i="10"/>
  <c r="Y30" i="10"/>
  <c r="K57" i="10"/>
  <c r="K56" i="10"/>
  <c r="K55" i="10"/>
  <c r="K54" i="10"/>
  <c r="K53" i="10"/>
  <c r="K34" i="10"/>
  <c r="K33" i="10"/>
  <c r="K32" i="10"/>
  <c r="K31" i="10"/>
  <c r="K30" i="10"/>
  <c r="D126" i="10"/>
  <c r="D125" i="10"/>
  <c r="D124" i="10"/>
  <c r="D123" i="10"/>
  <c r="D122" i="10"/>
  <c r="D103" i="10"/>
  <c r="D102" i="10"/>
  <c r="D101" i="10"/>
  <c r="D100" i="10"/>
  <c r="D99" i="10"/>
  <c r="D80" i="10"/>
  <c r="D79" i="10"/>
  <c r="D78" i="10"/>
  <c r="D77" i="10"/>
  <c r="D76" i="10"/>
  <c r="D11" i="10"/>
  <c r="D10" i="10"/>
  <c r="D9" i="10"/>
  <c r="D8" i="10"/>
  <c r="D7" i="10"/>
  <c r="K11" i="10"/>
  <c r="K10" i="10"/>
  <c r="K9" i="10"/>
  <c r="K8" i="10"/>
  <c r="K7" i="10"/>
  <c r="R11" i="10"/>
  <c r="R10" i="10"/>
  <c r="R9" i="10"/>
  <c r="R8" i="10"/>
  <c r="R7" i="10"/>
  <c r="R34" i="10"/>
  <c r="R33" i="10"/>
  <c r="R32" i="10"/>
  <c r="R31" i="10"/>
  <c r="R30" i="10"/>
  <c r="Y11" i="10"/>
  <c r="Y10" i="10"/>
  <c r="Y9" i="10"/>
  <c r="Y8" i="10"/>
  <c r="Y7" i="10"/>
  <c r="T40" i="10"/>
  <c r="T39" i="10"/>
  <c r="T38" i="10"/>
  <c r="T37" i="10"/>
  <c r="T36" i="10"/>
  <c r="S34" i="10"/>
  <c r="S33" i="10"/>
  <c r="S32" i="10"/>
  <c r="S31" i="10"/>
  <c r="S30" i="10"/>
  <c r="B19" i="14"/>
  <c r="B14" i="15" s="1"/>
  <c r="B14" i="14"/>
  <c r="B13" i="14"/>
  <c r="D31" i="12"/>
  <c r="D30" i="12"/>
  <c r="D29" i="12"/>
  <c r="D27" i="12"/>
  <c r="E2" i="14"/>
  <c r="F2" i="14"/>
  <c r="G2" i="14"/>
  <c r="H2" i="14"/>
  <c r="I2" i="14"/>
  <c r="J2" i="14"/>
  <c r="K2" i="14"/>
  <c r="L2" i="14"/>
  <c r="M2" i="14"/>
  <c r="N2" i="14"/>
  <c r="O2" i="14"/>
  <c r="D2" i="14"/>
  <c r="O12" i="11"/>
  <c r="I12" i="11"/>
  <c r="E2" i="11"/>
  <c r="F2" i="11"/>
  <c r="G2" i="11"/>
  <c r="H2" i="11"/>
  <c r="I2" i="11"/>
  <c r="J2" i="11"/>
  <c r="K2" i="11"/>
  <c r="L2" i="11"/>
  <c r="M2" i="11"/>
  <c r="N2" i="11"/>
  <c r="O2" i="11"/>
  <c r="F12" i="12"/>
  <c r="G12" i="12"/>
  <c r="H12" i="12"/>
  <c r="I12" i="12"/>
  <c r="J12" i="12"/>
  <c r="K12" i="12"/>
  <c r="L12" i="12"/>
  <c r="M12" i="12"/>
  <c r="N12" i="12"/>
  <c r="O12" i="12"/>
  <c r="P12" i="12"/>
  <c r="C22" i="12" l="1"/>
  <c r="AA33" i="10"/>
  <c r="AA54" i="10"/>
  <c r="AA79" i="10"/>
  <c r="B33" i="14"/>
  <c r="T34" i="10"/>
  <c r="AA30" i="10"/>
  <c r="AA32" i="10"/>
  <c r="AA53" i="10"/>
  <c r="T31" i="10"/>
  <c r="T33" i="10"/>
  <c r="T32" i="10"/>
  <c r="N137" i="10"/>
  <c r="AA55" i="10"/>
  <c r="AA57" i="10"/>
  <c r="AA76" i="10"/>
  <c r="AA78" i="10"/>
  <c r="AA80" i="10"/>
  <c r="AA34" i="10"/>
  <c r="AA77" i="10"/>
  <c r="T30" i="10"/>
  <c r="C16" i="12"/>
  <c r="C24" i="12"/>
  <c r="C23" i="12"/>
  <c r="C21" i="12"/>
  <c r="C20" i="12"/>
  <c r="B9" i="11"/>
  <c r="C19" i="12"/>
  <c r="C30" i="12" s="1"/>
  <c r="B8" i="11"/>
  <c r="B6" i="11"/>
  <c r="B12" i="11"/>
  <c r="B7" i="11"/>
  <c r="B15" i="11"/>
  <c r="B10" i="11"/>
  <c r="B13" i="11"/>
  <c r="B14" i="11"/>
  <c r="C18" i="12"/>
  <c r="C31" i="12" s="1"/>
  <c r="C15" i="12"/>
  <c r="C17" i="12"/>
  <c r="B8" i="14"/>
  <c r="B35" i="14"/>
  <c r="B30" i="14"/>
  <c r="B5" i="14"/>
  <c r="B9" i="14"/>
  <c r="B26" i="14"/>
  <c r="B34" i="14"/>
  <c r="B17" i="14"/>
  <c r="B25" i="14"/>
  <c r="B29" i="14"/>
  <c r="B7" i="14"/>
  <c r="B15" i="14"/>
  <c r="B24" i="14"/>
  <c r="B6" i="14"/>
  <c r="B22" i="14"/>
  <c r="B23" i="14"/>
  <c r="B16" i="14"/>
  <c r="C36" i="12" l="1"/>
  <c r="C37" i="12"/>
  <c r="AA47" i="10"/>
  <c r="AA70" i="10"/>
  <c r="AA93" i="10"/>
  <c r="T41" i="10"/>
  <c r="C35" i="12" s="1"/>
  <c r="B23" i="11"/>
  <c r="D24" i="11"/>
  <c r="B11" i="14" s="1"/>
  <c r="D23" i="11"/>
  <c r="C28" i="12" s="1"/>
  <c r="B27" i="14"/>
  <c r="B12" i="15" s="1"/>
  <c r="T17" i="10" l="1"/>
  <c r="T16" i="10"/>
  <c r="T15" i="10"/>
  <c r="T14" i="10"/>
  <c r="T13" i="10"/>
  <c r="AA23" i="10"/>
  <c r="AA22" i="10"/>
  <c r="AA21" i="10"/>
  <c r="AA20" i="10"/>
  <c r="AA19" i="10"/>
  <c r="AA17" i="10"/>
  <c r="AA16" i="10"/>
  <c r="AA15" i="10"/>
  <c r="AA14" i="10"/>
  <c r="AA13" i="10"/>
  <c r="M69" i="10"/>
  <c r="M68" i="10"/>
  <c r="M67" i="10"/>
  <c r="M66" i="10"/>
  <c r="M65" i="10"/>
  <c r="M63" i="10"/>
  <c r="M62" i="10"/>
  <c r="M61" i="10"/>
  <c r="M60" i="10"/>
  <c r="M59" i="10"/>
  <c r="M46" i="10"/>
  <c r="M45" i="10"/>
  <c r="M44" i="10"/>
  <c r="M43" i="10"/>
  <c r="M42" i="10"/>
  <c r="M40" i="10"/>
  <c r="M39" i="10"/>
  <c r="M38" i="10"/>
  <c r="M37" i="10"/>
  <c r="M36" i="10"/>
  <c r="M23" i="10"/>
  <c r="M22" i="10"/>
  <c r="M21" i="10"/>
  <c r="M20" i="10"/>
  <c r="M19" i="10"/>
  <c r="M17" i="10"/>
  <c r="M16" i="10"/>
  <c r="M15" i="10"/>
  <c r="M14" i="10"/>
  <c r="M13" i="10"/>
  <c r="F135" i="10"/>
  <c r="F136" i="10"/>
  <c r="F137" i="10"/>
  <c r="F138" i="10"/>
  <c r="F134" i="10"/>
  <c r="F129" i="10"/>
  <c r="F130" i="10"/>
  <c r="F131" i="10"/>
  <c r="F132" i="10"/>
  <c r="F128" i="10"/>
  <c r="F112" i="10"/>
  <c r="F113" i="10"/>
  <c r="F114" i="10"/>
  <c r="F115" i="10"/>
  <c r="F111" i="10"/>
  <c r="F106" i="10"/>
  <c r="F107" i="10"/>
  <c r="F108" i="10"/>
  <c r="F109" i="10"/>
  <c r="F105" i="10"/>
  <c r="F89" i="10"/>
  <c r="F90" i="10"/>
  <c r="F91" i="10"/>
  <c r="F92" i="10"/>
  <c r="F88" i="10"/>
  <c r="F83" i="10"/>
  <c r="F84" i="10"/>
  <c r="F85" i="10"/>
  <c r="F86" i="10"/>
  <c r="F82" i="10"/>
  <c r="F20" i="10"/>
  <c r="F21" i="10"/>
  <c r="F22" i="10"/>
  <c r="F23" i="10"/>
  <c r="F19" i="10"/>
  <c r="F14" i="10"/>
  <c r="F15" i="10"/>
  <c r="F16" i="10"/>
  <c r="F17" i="10"/>
  <c r="F13" i="10"/>
  <c r="I39" i="16"/>
  <c r="L39" i="16" s="1"/>
  <c r="I40" i="16"/>
  <c r="L40" i="16" s="1"/>
  <c r="M45" i="16"/>
  <c r="E126" i="10"/>
  <c r="F126" i="10" s="1"/>
  <c r="E125" i="10"/>
  <c r="F125" i="10" s="1"/>
  <c r="E124" i="10"/>
  <c r="F124" i="10" s="1"/>
  <c r="E123" i="10"/>
  <c r="F123" i="10" s="1"/>
  <c r="E122" i="10"/>
  <c r="F122" i="10" s="1"/>
  <c r="E103" i="10"/>
  <c r="F103" i="10" s="1"/>
  <c r="E102" i="10"/>
  <c r="F102" i="10" s="1"/>
  <c r="E101" i="10"/>
  <c r="F101" i="10" s="1"/>
  <c r="E100" i="10"/>
  <c r="F100" i="10" s="1"/>
  <c r="E99" i="10"/>
  <c r="F99" i="10" s="1"/>
  <c r="E80" i="10"/>
  <c r="F80" i="10" s="1"/>
  <c r="E79" i="10"/>
  <c r="F79" i="10" s="1"/>
  <c r="E78" i="10"/>
  <c r="F78" i="10" s="1"/>
  <c r="E77" i="10"/>
  <c r="F77" i="10" s="1"/>
  <c r="E76" i="10"/>
  <c r="F76" i="10" s="1"/>
  <c r="L57" i="10"/>
  <c r="M57" i="10" s="1"/>
  <c r="L56" i="10"/>
  <c r="M56" i="10" s="1"/>
  <c r="L55" i="10"/>
  <c r="M55" i="10" s="1"/>
  <c r="L54" i="10"/>
  <c r="M54" i="10" s="1"/>
  <c r="L53" i="10"/>
  <c r="M53" i="10" s="1"/>
  <c r="L34" i="10"/>
  <c r="M34" i="10" s="1"/>
  <c r="L33" i="10"/>
  <c r="M33" i="10" s="1"/>
  <c r="L32" i="10"/>
  <c r="M32" i="10" s="1"/>
  <c r="L31" i="10"/>
  <c r="M31" i="10" s="1"/>
  <c r="L30" i="10"/>
  <c r="M30" i="10" s="1"/>
  <c r="Z11" i="10"/>
  <c r="AA11" i="10" s="1"/>
  <c r="Z10" i="10"/>
  <c r="Z9" i="10"/>
  <c r="AA9" i="10" s="1"/>
  <c r="Z8" i="10"/>
  <c r="AA8" i="10" s="1"/>
  <c r="Z7" i="10"/>
  <c r="AA7" i="10" s="1"/>
  <c r="S11" i="10"/>
  <c r="S10" i="10"/>
  <c r="T10" i="10" s="1"/>
  <c r="S9" i="10"/>
  <c r="S8" i="10"/>
  <c r="T8" i="10" s="1"/>
  <c r="S7" i="10"/>
  <c r="L11" i="10"/>
  <c r="M11" i="10" s="1"/>
  <c r="L10" i="10"/>
  <c r="M10" i="10" s="1"/>
  <c r="L9" i="10"/>
  <c r="M9" i="10" s="1"/>
  <c r="L8" i="10"/>
  <c r="L7" i="10"/>
  <c r="M7" i="10" s="1"/>
  <c r="E8" i="10"/>
  <c r="F8" i="10" s="1"/>
  <c r="E9" i="10"/>
  <c r="F9" i="10" s="1"/>
  <c r="E10" i="10"/>
  <c r="F10" i="10" s="1"/>
  <c r="E11" i="10"/>
  <c r="F11" i="10" s="1"/>
  <c r="E7" i="10"/>
  <c r="T7" i="10" l="1"/>
  <c r="AA10" i="10"/>
  <c r="AA24" i="10" s="1"/>
  <c r="AA96" i="10" s="1"/>
  <c r="T9" i="10"/>
  <c r="M8" i="10"/>
  <c r="M24" i="10" s="1"/>
  <c r="T11" i="10"/>
  <c r="M47" i="10"/>
  <c r="F7" i="10"/>
  <c r="M70" i="10"/>
  <c r="T18" i="10" l="1"/>
  <c r="C34" i="12" s="1"/>
  <c r="E3" i="12"/>
  <c r="E4" i="12"/>
  <c r="E5" i="12"/>
  <c r="E6" i="12"/>
  <c r="E7" i="12"/>
  <c r="I50" i="16"/>
  <c r="I51" i="16"/>
  <c r="I52" i="16"/>
  <c r="I53" i="16"/>
  <c r="I54" i="16"/>
  <c r="I55" i="16"/>
  <c r="I56" i="16"/>
  <c r="I57" i="16"/>
  <c r="I58" i="16"/>
  <c r="I49" i="16"/>
  <c r="I15" i="16"/>
  <c r="I16" i="16"/>
  <c r="I17" i="16"/>
  <c r="I18" i="16"/>
  <c r="I19" i="16"/>
  <c r="I20" i="16"/>
  <c r="I21" i="16"/>
  <c r="I22" i="16"/>
  <c r="I23" i="16"/>
  <c r="I24" i="16"/>
  <c r="J24" i="16" s="1"/>
  <c r="I25" i="16"/>
  <c r="I26" i="16"/>
  <c r="I27" i="16"/>
  <c r="I28" i="16"/>
  <c r="I29" i="16"/>
  <c r="I30" i="16"/>
  <c r="I31" i="16"/>
  <c r="I14" i="16"/>
  <c r="L7" i="16"/>
  <c r="L8" i="16"/>
  <c r="L9" i="16"/>
  <c r="L10" i="16"/>
  <c r="J58" i="16"/>
  <c r="H6" i="16"/>
  <c r="E6" i="16"/>
  <c r="E44" i="16"/>
  <c r="I44" i="16" s="1"/>
  <c r="B44" i="16"/>
  <c r="E43" i="16"/>
  <c r="I43" i="16" s="1"/>
  <c r="B43" i="16"/>
  <c r="E42" i="16"/>
  <c r="I42" i="16" s="1"/>
  <c r="B42" i="16"/>
  <c r="G37" i="16"/>
  <c r="B38" i="16"/>
  <c r="G38" i="16"/>
  <c r="E38" i="16"/>
  <c r="E37" i="16"/>
  <c r="B37" i="16"/>
  <c r="G36" i="16"/>
  <c r="B36" i="16"/>
  <c r="E36" i="16"/>
  <c r="G35" i="16"/>
  <c r="B35" i="16"/>
  <c r="E35" i="16"/>
  <c r="L24" i="16" l="1"/>
  <c r="J16" i="16"/>
  <c r="L16" i="16" s="1"/>
  <c r="L58" i="16"/>
  <c r="K58" i="16"/>
  <c r="J53" i="16"/>
  <c r="K53" i="16" s="1"/>
  <c r="K24" i="16"/>
  <c r="J20" i="16"/>
  <c r="K20" i="16" s="1"/>
  <c r="J54" i="16"/>
  <c r="K54" i="16" s="1"/>
  <c r="J50" i="16"/>
  <c r="K50" i="16" s="1"/>
  <c r="J23" i="16"/>
  <c r="K23" i="16" s="1"/>
  <c r="J17" i="16"/>
  <c r="K17" i="16" s="1"/>
  <c r="J49" i="16"/>
  <c r="K49" i="16" s="1"/>
  <c r="J51" i="16"/>
  <c r="K51" i="16" s="1"/>
  <c r="J57" i="16"/>
  <c r="K57" i="16" s="1"/>
  <c r="J56" i="16"/>
  <c r="L56" i="16" s="1"/>
  <c r="J55" i="16"/>
  <c r="K55" i="16" s="1"/>
  <c r="J52" i="16"/>
  <c r="K52" i="16" s="1"/>
  <c r="J31" i="16"/>
  <c r="K31" i="16" s="1"/>
  <c r="J28" i="16"/>
  <c r="K28" i="16" s="1"/>
  <c r="J18" i="16"/>
  <c r="K18" i="16" s="1"/>
  <c r="J30" i="16"/>
  <c r="K30" i="16" s="1"/>
  <c r="J26" i="16"/>
  <c r="K26" i="16" s="1"/>
  <c r="J22" i="16"/>
  <c r="K22" i="16" s="1"/>
  <c r="J27" i="16"/>
  <c r="K27" i="16" s="1"/>
  <c r="J19" i="16"/>
  <c r="K19" i="16" s="1"/>
  <c r="J15" i="16"/>
  <c r="K15" i="16" s="1"/>
  <c r="J29" i="16"/>
  <c r="L29" i="16" s="1"/>
  <c r="J25" i="16"/>
  <c r="K25" i="16" s="1"/>
  <c r="J21" i="16"/>
  <c r="K21" i="16" s="1"/>
  <c r="J14" i="16"/>
  <c r="K14" i="16" s="1"/>
  <c r="E10" i="12"/>
  <c r="C33" i="12" s="1"/>
  <c r="M43" i="16"/>
  <c r="I6" i="16"/>
  <c r="L6" i="16" s="1"/>
  <c r="J39" i="16"/>
  <c r="K39" i="16" s="1"/>
  <c r="J40" i="16"/>
  <c r="K40" i="16" s="1"/>
  <c r="L53" i="16" l="1"/>
  <c r="L14" i="16"/>
  <c r="L50" i="16"/>
  <c r="L55" i="16"/>
  <c r="L17" i="16"/>
  <c r="L57" i="16"/>
  <c r="L15" i="16"/>
  <c r="K29" i="16"/>
  <c r="L52" i="16"/>
  <c r="L25" i="16"/>
  <c r="K16" i="16"/>
  <c r="L23" i="16"/>
  <c r="L21" i="16"/>
  <c r="L31" i="16"/>
  <c r="L18" i="16"/>
  <c r="K56" i="16"/>
  <c r="K59" i="16" s="1"/>
  <c r="L30" i="16"/>
  <c r="L51" i="16"/>
  <c r="L28" i="16"/>
  <c r="L26" i="16"/>
  <c r="L20" i="16"/>
  <c r="L19" i="16"/>
  <c r="L49" i="16"/>
  <c r="L22" i="16"/>
  <c r="L54" i="16"/>
  <c r="L27" i="16"/>
  <c r="F116" i="10"/>
  <c r="F93" i="10"/>
  <c r="H38" i="16" s="1"/>
  <c r="I38" i="16" s="1"/>
  <c r="L11" i="16"/>
  <c r="C62" i="16" s="1"/>
  <c r="L59" i="16" l="1"/>
  <c r="C65" i="16" s="1"/>
  <c r="B29" i="15"/>
  <c r="K38" i="16"/>
  <c r="L38" i="16"/>
  <c r="D65" i="16"/>
  <c r="M42" i="16"/>
  <c r="M44" i="16"/>
  <c r="L32" i="16"/>
  <c r="C63" i="16" s="1"/>
  <c r="C32" i="12" l="1"/>
  <c r="I46" i="16"/>
  <c r="B24" i="15" s="1"/>
  <c r="F139" i="10"/>
  <c r="B18" i="11"/>
  <c r="E24" i="11" s="1"/>
  <c r="B17" i="11"/>
  <c r="E23" i="11" s="1"/>
  <c r="B24" i="11"/>
  <c r="B10" i="14" s="1"/>
  <c r="C7" i="4"/>
  <c r="K9" i="5"/>
  <c r="D8" i="6"/>
  <c r="B16" i="4"/>
  <c r="B22" i="4" s="1"/>
  <c r="B32" i="4"/>
  <c r="B42" i="4" s="1"/>
  <c r="B43" i="4" s="1"/>
  <c r="K8" i="5"/>
  <c r="K7" i="5"/>
  <c r="K6" i="5"/>
  <c r="K5" i="5"/>
  <c r="F24" i="11" l="1"/>
  <c r="B12" i="14"/>
  <c r="B18" i="14" s="1"/>
  <c r="B11" i="15" s="1"/>
  <c r="B31" i="14"/>
  <c r="B18" i="15" s="1"/>
  <c r="H37" i="16"/>
  <c r="I37" i="16" s="1"/>
  <c r="F24" i="10"/>
  <c r="B36" i="14"/>
  <c r="B20" i="15" s="1"/>
  <c r="E25" i="11"/>
  <c r="G36" i="5"/>
  <c r="I36" i="5" s="1"/>
  <c r="G37" i="5"/>
  <c r="I37" i="5" s="1"/>
  <c r="G38" i="5"/>
  <c r="I38" i="5" s="1"/>
  <c r="G39" i="5"/>
  <c r="I39" i="5" s="1"/>
  <c r="F23" i="11" l="1"/>
  <c r="C27" i="12"/>
  <c r="K37" i="16"/>
  <c r="L37" i="16"/>
  <c r="H36" i="16"/>
  <c r="I36" i="16" s="1"/>
  <c r="H35" i="16"/>
  <c r="I35" i="16" s="1"/>
  <c r="B25" i="11"/>
  <c r="C29" i="12" s="1"/>
  <c r="C12" i="8"/>
  <c r="G78" i="5"/>
  <c r="I78" i="5" s="1"/>
  <c r="G79" i="5"/>
  <c r="I79" i="5" s="1"/>
  <c r="G80" i="5"/>
  <c r="I80" i="5" s="1"/>
  <c r="G81" i="5"/>
  <c r="I81" i="5" s="1"/>
  <c r="G82" i="5"/>
  <c r="I82" i="5" s="1"/>
  <c r="G65" i="5"/>
  <c r="I65" i="5" s="1"/>
  <c r="G66" i="5"/>
  <c r="I66" i="5" s="1"/>
  <c r="G67" i="5"/>
  <c r="I67" i="5" s="1"/>
  <c r="G68" i="5"/>
  <c r="I68" i="5" s="1"/>
  <c r="G69" i="5"/>
  <c r="I69" i="5" s="1"/>
  <c r="G70" i="5"/>
  <c r="I70" i="5" s="1"/>
  <c r="G71" i="5"/>
  <c r="I71" i="5" s="1"/>
  <c r="G46" i="5"/>
  <c r="I46" i="5" s="1"/>
  <c r="G47" i="5"/>
  <c r="I47" i="5" s="1"/>
  <c r="G48" i="5"/>
  <c r="I48" i="5" s="1"/>
  <c r="G49" i="5"/>
  <c r="I49" i="5" s="1"/>
  <c r="G50" i="5"/>
  <c r="I50" i="5" s="1"/>
  <c r="G35" i="5"/>
  <c r="I35" i="5" s="1"/>
  <c r="AT22" i="5"/>
  <c r="AR22" i="5"/>
  <c r="AT21" i="5"/>
  <c r="AR21" i="5"/>
  <c r="AT20" i="5"/>
  <c r="AR20" i="5"/>
  <c r="AT19" i="5"/>
  <c r="AR19" i="5"/>
  <c r="AT18" i="5"/>
  <c r="AR18" i="5"/>
  <c r="AT17" i="5"/>
  <c r="AR17" i="5"/>
  <c r="AT16" i="5"/>
  <c r="AR16" i="5"/>
  <c r="AT15" i="5"/>
  <c r="AR15" i="5"/>
  <c r="AT14" i="5"/>
  <c r="AR14" i="5"/>
  <c r="AT13" i="5"/>
  <c r="AR13" i="5"/>
  <c r="AT12" i="5"/>
  <c r="AR12" i="5"/>
  <c r="AT11" i="5"/>
  <c r="AR11" i="5"/>
  <c r="AT10" i="5"/>
  <c r="AR10" i="5"/>
  <c r="AT9" i="5"/>
  <c r="AR9" i="5"/>
  <c r="AT8" i="5"/>
  <c r="AR8" i="5"/>
  <c r="AT7" i="5"/>
  <c r="AR7" i="5"/>
  <c r="AT6" i="5"/>
  <c r="AR6" i="5"/>
  <c r="AT5" i="5"/>
  <c r="AR5" i="5"/>
  <c r="D14" i="15" l="1"/>
  <c r="D12" i="15"/>
  <c r="D18" i="15"/>
  <c r="D11" i="15"/>
  <c r="D20" i="15"/>
  <c r="K36" i="16"/>
  <c r="L36" i="16"/>
  <c r="K35" i="16"/>
  <c r="L35" i="16"/>
  <c r="C38" i="12"/>
  <c r="B8" i="15" s="1"/>
  <c r="AS22" i="5"/>
  <c r="AS21" i="5"/>
  <c r="AS20" i="5"/>
  <c r="AS19" i="5"/>
  <c r="AS18" i="5"/>
  <c r="AS17" i="5"/>
  <c r="AS16" i="5"/>
  <c r="AS15" i="5"/>
  <c r="AS14" i="5"/>
  <c r="AS13" i="5"/>
  <c r="AS12" i="5"/>
  <c r="AS11" i="5"/>
  <c r="AS10" i="5"/>
  <c r="AS9" i="5"/>
  <c r="AS8" i="5"/>
  <c r="AS7" i="5"/>
  <c r="AS6" i="5"/>
  <c r="AS5" i="5"/>
  <c r="D8" i="15" l="1"/>
  <c r="D25" i="11"/>
  <c r="F25" i="11" s="1"/>
  <c r="L46" i="16"/>
  <c r="C64" i="16" s="1"/>
  <c r="B20" i="14"/>
  <c r="C67" i="16"/>
  <c r="R10" i="5"/>
  <c r="AJ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5" i="5"/>
  <c r="AK22" i="5"/>
  <c r="H22" i="5" s="1"/>
  <c r="AK21" i="5"/>
  <c r="H21" i="5" s="1"/>
  <c r="AK20" i="5"/>
  <c r="H20" i="5" s="1"/>
  <c r="AK19" i="5"/>
  <c r="H19" i="5" s="1"/>
  <c r="AK18" i="5"/>
  <c r="H18" i="5" s="1"/>
  <c r="AK17" i="5"/>
  <c r="H17" i="5" s="1"/>
  <c r="AK16" i="5"/>
  <c r="H16" i="5" s="1"/>
  <c r="AK15" i="5"/>
  <c r="H15" i="5" s="1"/>
  <c r="AK14" i="5"/>
  <c r="H14" i="5" s="1"/>
  <c r="AK13" i="5"/>
  <c r="H13" i="5" s="1"/>
  <c r="AK12" i="5"/>
  <c r="H12" i="5" s="1"/>
  <c r="AK11" i="5"/>
  <c r="H11" i="5" s="1"/>
  <c r="AK10" i="5"/>
  <c r="H10" i="5" s="1"/>
  <c r="AK9" i="5"/>
  <c r="AK8" i="5"/>
  <c r="H8" i="5" s="1"/>
  <c r="AK7" i="5"/>
  <c r="AK6" i="5"/>
  <c r="AK5" i="5"/>
  <c r="AI22" i="5"/>
  <c r="AI21" i="5"/>
  <c r="AI20" i="5"/>
  <c r="AI19" i="5"/>
  <c r="AI18" i="5"/>
  <c r="AI17" i="5"/>
  <c r="AI16" i="5"/>
  <c r="AI15" i="5"/>
  <c r="AI14" i="5"/>
  <c r="AI13" i="5"/>
  <c r="AI12" i="5"/>
  <c r="AI11" i="5"/>
  <c r="AI10" i="5"/>
  <c r="AI9" i="5"/>
  <c r="AI8" i="5"/>
  <c r="AI7" i="5"/>
  <c r="AI6" i="5"/>
  <c r="AI5" i="5"/>
  <c r="H9" i="5" l="1"/>
  <c r="I9" i="5" s="1"/>
  <c r="K46" i="16"/>
  <c r="D64" i="16" s="1"/>
  <c r="B9" i="15" s="1"/>
  <c r="H6" i="5"/>
  <c r="H5" i="5"/>
  <c r="H7" i="5"/>
  <c r="D9" i="15" l="1"/>
  <c r="F10" i="4"/>
  <c r="D35" i="8" s="1"/>
  <c r="F8" i="4"/>
  <c r="D33" i="8" s="1"/>
  <c r="F6" i="4"/>
  <c r="D34" i="8"/>
  <c r="D32" i="8" l="1"/>
  <c r="D31" i="8"/>
  <c r="D39" i="8" s="1"/>
  <c r="D37" i="8" l="1"/>
  <c r="D38" i="8"/>
  <c r="D30" i="8"/>
  <c r="N6" i="7"/>
  <c r="N7" i="7"/>
  <c r="N8" i="7"/>
  <c r="N9" i="7"/>
  <c r="N10" i="7"/>
  <c r="N11" i="7"/>
  <c r="N12" i="7"/>
  <c r="N13" i="7"/>
  <c r="N14" i="7"/>
  <c r="N15" i="7"/>
  <c r="N16" i="7"/>
  <c r="N5" i="7"/>
  <c r="D16" i="6"/>
  <c r="E20" i="6" s="1"/>
  <c r="E76" i="5" s="1"/>
  <c r="G76" i="5" s="1"/>
  <c r="I76" i="5" s="1"/>
  <c r="C16" i="6"/>
  <c r="D20" i="6" s="1"/>
  <c r="E64" i="5" s="1"/>
  <c r="E15" i="6"/>
  <c r="E14" i="6"/>
  <c r="E13" i="6"/>
  <c r="E12" i="6"/>
  <c r="E11" i="6"/>
  <c r="E10" i="6"/>
  <c r="E9" i="6"/>
  <c r="E8" i="6"/>
  <c r="E7" i="6"/>
  <c r="E6" i="6"/>
  <c r="E5" i="6"/>
  <c r="E4" i="6"/>
  <c r="E58" i="5"/>
  <c r="G88" i="5"/>
  <c r="I88" i="5" s="1"/>
  <c r="G57" i="5"/>
  <c r="I57" i="5" s="1"/>
  <c r="G87" i="5"/>
  <c r="I87" i="5" s="1"/>
  <c r="G56" i="5"/>
  <c r="I56" i="5" s="1"/>
  <c r="G86" i="5"/>
  <c r="I86" i="5" s="1"/>
  <c r="G55" i="5"/>
  <c r="I55" i="5" s="1"/>
  <c r="G85" i="5"/>
  <c r="I85" i="5" s="1"/>
  <c r="G54" i="5"/>
  <c r="I54" i="5" s="1"/>
  <c r="G84" i="5"/>
  <c r="I84" i="5" s="1"/>
  <c r="G53" i="5"/>
  <c r="I53" i="5" s="1"/>
  <c r="G83" i="5"/>
  <c r="I83" i="5" s="1"/>
  <c r="G52" i="5"/>
  <c r="I52" i="5" s="1"/>
  <c r="G77" i="5"/>
  <c r="I77" i="5" s="1"/>
  <c r="G51" i="5"/>
  <c r="I51" i="5" s="1"/>
  <c r="G45" i="5"/>
  <c r="I45" i="5" s="1"/>
  <c r="G75" i="5"/>
  <c r="I75" i="5" s="1"/>
  <c r="G44" i="5"/>
  <c r="I44" i="5" s="1"/>
  <c r="G74" i="5"/>
  <c r="I74" i="5" s="1"/>
  <c r="G43" i="5"/>
  <c r="I43" i="5" s="1"/>
  <c r="G73" i="5"/>
  <c r="I73" i="5" s="1"/>
  <c r="G42" i="5"/>
  <c r="I42" i="5" s="1"/>
  <c r="G72" i="5"/>
  <c r="I72" i="5" s="1"/>
  <c r="G41" i="5"/>
  <c r="I41" i="5" s="1"/>
  <c r="G40" i="5"/>
  <c r="I40" i="5" s="1"/>
  <c r="G34" i="5"/>
  <c r="I34" i="5" s="1"/>
  <c r="G33" i="5"/>
  <c r="J23" i="5"/>
  <c r="B23" i="5"/>
  <c r="R22" i="5"/>
  <c r="N22" i="5"/>
  <c r="O22" i="5" s="1"/>
  <c r="L22" i="5"/>
  <c r="I22" i="5"/>
  <c r="F22" i="5"/>
  <c r="G22" i="5" s="1"/>
  <c r="D22" i="5"/>
  <c r="R21" i="5"/>
  <c r="N21" i="5"/>
  <c r="O21" i="5" s="1"/>
  <c r="L21" i="5"/>
  <c r="I21" i="5"/>
  <c r="F21" i="5"/>
  <c r="G21" i="5" s="1"/>
  <c r="D21" i="5"/>
  <c r="R20" i="5"/>
  <c r="N20" i="5"/>
  <c r="O20" i="5" s="1"/>
  <c r="L20" i="5"/>
  <c r="I20" i="5"/>
  <c r="F20" i="5"/>
  <c r="G20" i="5" s="1"/>
  <c r="D20" i="5"/>
  <c r="R19" i="5"/>
  <c r="N19" i="5"/>
  <c r="O19" i="5" s="1"/>
  <c r="L19" i="5"/>
  <c r="I19" i="5"/>
  <c r="F19" i="5"/>
  <c r="G19" i="5" s="1"/>
  <c r="D19" i="5"/>
  <c r="R18" i="5"/>
  <c r="N18" i="5"/>
  <c r="O18" i="5" s="1"/>
  <c r="L18" i="5"/>
  <c r="I18" i="5"/>
  <c r="F18" i="5"/>
  <c r="G18" i="5" s="1"/>
  <c r="D18" i="5"/>
  <c r="R17" i="5"/>
  <c r="N17" i="5"/>
  <c r="O17" i="5" s="1"/>
  <c r="L17" i="5"/>
  <c r="I17" i="5"/>
  <c r="F17" i="5"/>
  <c r="G17" i="5" s="1"/>
  <c r="D17" i="5"/>
  <c r="R16" i="5"/>
  <c r="N16" i="5"/>
  <c r="O16" i="5" s="1"/>
  <c r="L16" i="5"/>
  <c r="I16" i="5"/>
  <c r="F16" i="5"/>
  <c r="G16" i="5" s="1"/>
  <c r="D16" i="5"/>
  <c r="R15" i="5"/>
  <c r="N15" i="5"/>
  <c r="O15" i="5" s="1"/>
  <c r="L15" i="5"/>
  <c r="I15" i="5"/>
  <c r="F15" i="5"/>
  <c r="G15" i="5" s="1"/>
  <c r="D15" i="5"/>
  <c r="R14" i="5"/>
  <c r="N14" i="5"/>
  <c r="O14" i="5" s="1"/>
  <c r="L14" i="5"/>
  <c r="I14" i="5"/>
  <c r="F14" i="5"/>
  <c r="G14" i="5" s="1"/>
  <c r="D14" i="5"/>
  <c r="R13" i="5"/>
  <c r="N13" i="5"/>
  <c r="O13" i="5" s="1"/>
  <c r="L13" i="5"/>
  <c r="I13" i="5"/>
  <c r="F13" i="5"/>
  <c r="G13" i="5" s="1"/>
  <c r="D13" i="5"/>
  <c r="R12" i="5"/>
  <c r="N12" i="5"/>
  <c r="O12" i="5" s="1"/>
  <c r="L12" i="5"/>
  <c r="I12" i="5"/>
  <c r="F12" i="5"/>
  <c r="G12" i="5" s="1"/>
  <c r="D12" i="5"/>
  <c r="R11" i="5"/>
  <c r="N11" i="5"/>
  <c r="O11" i="5" s="1"/>
  <c r="L11" i="5"/>
  <c r="I11" i="5"/>
  <c r="F11" i="5"/>
  <c r="G11" i="5" s="1"/>
  <c r="D11" i="5"/>
  <c r="N10" i="5"/>
  <c r="O10" i="5" s="1"/>
  <c r="L10" i="5"/>
  <c r="I10" i="5"/>
  <c r="F10" i="5"/>
  <c r="G10" i="5" s="1"/>
  <c r="D10" i="5"/>
  <c r="R9" i="5"/>
  <c r="N9" i="5"/>
  <c r="O9" i="5" s="1"/>
  <c r="L9" i="5"/>
  <c r="F9" i="5"/>
  <c r="G9" i="5" s="1"/>
  <c r="D9" i="5"/>
  <c r="R8" i="5"/>
  <c r="N8" i="5"/>
  <c r="O8" i="5" s="1"/>
  <c r="L8" i="5"/>
  <c r="I8" i="5"/>
  <c r="F8" i="5"/>
  <c r="G8" i="5" s="1"/>
  <c r="D8" i="5"/>
  <c r="R7" i="5"/>
  <c r="N7" i="5"/>
  <c r="O7" i="5" s="1"/>
  <c r="L7" i="5"/>
  <c r="I7" i="5"/>
  <c r="F7" i="5"/>
  <c r="G7" i="5" s="1"/>
  <c r="D7" i="5"/>
  <c r="R6" i="5"/>
  <c r="N6" i="5"/>
  <c r="O6" i="5" s="1"/>
  <c r="L6" i="5"/>
  <c r="I6" i="5"/>
  <c r="F6" i="5"/>
  <c r="G6" i="5" s="1"/>
  <c r="D6" i="5"/>
  <c r="R5" i="5"/>
  <c r="N5" i="5"/>
  <c r="O5" i="5" s="1"/>
  <c r="L5" i="5"/>
  <c r="I5" i="5"/>
  <c r="F5" i="5"/>
  <c r="G5" i="5" s="1"/>
  <c r="D5" i="5"/>
  <c r="C47" i="4"/>
  <c r="C36" i="4"/>
  <c r="C26" i="4"/>
  <c r="C19" i="4"/>
  <c r="C18" i="4"/>
  <c r="C17" i="4"/>
  <c r="C9" i="4"/>
  <c r="N17" i="7" l="1"/>
  <c r="G64" i="5"/>
  <c r="G89" i="5" s="1"/>
  <c r="C6" i="8" s="1"/>
  <c r="S10" i="5"/>
  <c r="P8" i="5"/>
  <c r="Q8" i="5" s="1"/>
  <c r="T8" i="5" s="1"/>
  <c r="P12" i="5"/>
  <c r="Q12" i="5" s="1"/>
  <c r="T12" i="5" s="1"/>
  <c r="P20" i="5"/>
  <c r="Q20" i="5" s="1"/>
  <c r="T20" i="5" s="1"/>
  <c r="P7" i="5"/>
  <c r="Q7" i="5" s="1"/>
  <c r="T7" i="5" s="1"/>
  <c r="P11" i="5"/>
  <c r="Q11" i="5" s="1"/>
  <c r="T11" i="5" s="1"/>
  <c r="P15" i="5"/>
  <c r="Q15" i="5" s="1"/>
  <c r="T15" i="5" s="1"/>
  <c r="P19" i="5"/>
  <c r="Q19" i="5" s="1"/>
  <c r="T19" i="5" s="1"/>
  <c r="P16" i="5"/>
  <c r="Q16" i="5" s="1"/>
  <c r="T16" i="5" s="1"/>
  <c r="P6" i="5"/>
  <c r="Q6" i="5" s="1"/>
  <c r="T6" i="5" s="1"/>
  <c r="P10" i="5"/>
  <c r="Q10" i="5" s="1"/>
  <c r="T10" i="5" s="1"/>
  <c r="P14" i="5"/>
  <c r="Q14" i="5" s="1"/>
  <c r="T14" i="5" s="1"/>
  <c r="P18" i="5"/>
  <c r="Q18" i="5" s="1"/>
  <c r="T18" i="5" s="1"/>
  <c r="P22" i="5"/>
  <c r="Q22" i="5" s="1"/>
  <c r="T22" i="5" s="1"/>
  <c r="P9" i="5"/>
  <c r="Q9" i="5" s="1"/>
  <c r="T9" i="5" s="1"/>
  <c r="P13" i="5"/>
  <c r="Q13" i="5" s="1"/>
  <c r="T13" i="5" s="1"/>
  <c r="P17" i="5"/>
  <c r="Q17" i="5" s="1"/>
  <c r="T17" i="5" s="1"/>
  <c r="P21" i="5"/>
  <c r="Q21" i="5" s="1"/>
  <c r="T21" i="5" s="1"/>
  <c r="S9" i="5"/>
  <c r="C40" i="4"/>
  <c r="C51" i="4"/>
  <c r="C30" i="4"/>
  <c r="C29" i="4"/>
  <c r="C39" i="4"/>
  <c r="C50" i="4"/>
  <c r="C14" i="4"/>
  <c r="D27" i="8"/>
  <c r="C49" i="4"/>
  <c r="C28" i="4"/>
  <c r="C38" i="4"/>
  <c r="S16" i="5"/>
  <c r="S20" i="5"/>
  <c r="U21" i="5"/>
  <c r="S11" i="5"/>
  <c r="S18" i="5"/>
  <c r="U19" i="5"/>
  <c r="L23" i="5"/>
  <c r="S19" i="5"/>
  <c r="U20" i="5"/>
  <c r="S8" i="5"/>
  <c r="S12" i="5"/>
  <c r="S13" i="5"/>
  <c r="S17" i="5"/>
  <c r="U18" i="5"/>
  <c r="S21" i="5"/>
  <c r="U22" i="5"/>
  <c r="D23" i="5"/>
  <c r="G58" i="5"/>
  <c r="C7" i="8" s="1"/>
  <c r="I23" i="5"/>
  <c r="R23" i="5"/>
  <c r="B28" i="5" s="1"/>
  <c r="S6" i="5"/>
  <c r="S7" i="5"/>
  <c r="S14" i="5"/>
  <c r="S15" i="5"/>
  <c r="S22" i="5"/>
  <c r="D15" i="8"/>
  <c r="U6" i="5"/>
  <c r="U7" i="5"/>
  <c r="U8" i="5"/>
  <c r="U9" i="5"/>
  <c r="U10" i="5"/>
  <c r="U11" i="5"/>
  <c r="U12" i="5"/>
  <c r="U13" i="5"/>
  <c r="U14" i="5"/>
  <c r="U15" i="5"/>
  <c r="U16" i="5"/>
  <c r="U17" i="5"/>
  <c r="F20" i="6"/>
  <c r="I20" i="6"/>
  <c r="I23" i="6" s="1"/>
  <c r="B29" i="5"/>
  <c r="E16" i="6"/>
  <c r="I33" i="5"/>
  <c r="I58" i="5" s="1"/>
  <c r="U5" i="5"/>
  <c r="O23" i="5"/>
  <c r="G23" i="5"/>
  <c r="S5" i="5"/>
  <c r="C20" i="4"/>
  <c r="C31" i="4" s="1"/>
  <c r="D28" i="8" s="1"/>
  <c r="H16" i="1"/>
  <c r="H17" i="1"/>
  <c r="H13" i="1"/>
  <c r="L10" i="1" s="1"/>
  <c r="H14" i="1"/>
  <c r="L11" i="1" s="1"/>
  <c r="K23" i="6" l="1"/>
  <c r="K20" i="6"/>
  <c r="D7" i="8"/>
  <c r="B5" i="15"/>
  <c r="D5" i="15" s="1"/>
  <c r="B6" i="15"/>
  <c r="D6" i="15" s="1"/>
  <c r="C66" i="16"/>
  <c r="I64" i="5"/>
  <c r="I89" i="5" s="1"/>
  <c r="E89" i="5"/>
  <c r="B27" i="5" s="1"/>
  <c r="F15" i="8"/>
  <c r="P5" i="5"/>
  <c r="S23" i="5"/>
  <c r="C8" i="8" s="1"/>
  <c r="C9" i="8" s="1"/>
  <c r="D18" i="8" s="1"/>
  <c r="D22" i="8" s="1"/>
  <c r="D16" i="8"/>
  <c r="D20" i="8" s="1"/>
  <c r="D42" i="8"/>
  <c r="C52" i="4"/>
  <c r="C41" i="4"/>
  <c r="E18" i="7"/>
  <c r="U23" i="5"/>
  <c r="D8" i="8" s="1"/>
  <c r="B26" i="5"/>
  <c r="D43" i="8"/>
  <c r="D26" i="8"/>
  <c r="C68" i="16" l="1"/>
  <c r="B28" i="15" s="1"/>
  <c r="D6" i="8"/>
  <c r="D9" i="8" s="1"/>
  <c r="D19" i="8" s="1"/>
  <c r="F19" i="8" s="1"/>
  <c r="B4" i="15"/>
  <c r="B25" i="5"/>
  <c r="C25" i="5" s="1"/>
  <c r="F16" i="8"/>
  <c r="F18" i="8"/>
  <c r="Q5" i="5"/>
  <c r="D21" i="8"/>
  <c r="L12" i="1"/>
  <c r="H18" i="1"/>
  <c r="H19" i="1"/>
  <c r="H20" i="1"/>
  <c r="H21" i="1"/>
  <c r="H22" i="1"/>
  <c r="H23" i="1"/>
  <c r="H24" i="1"/>
  <c r="H25" i="1"/>
  <c r="H11" i="1"/>
  <c r="L13" i="1" s="1"/>
  <c r="B14" i="1"/>
  <c r="D4" i="15" l="1"/>
  <c r="B7" i="15"/>
  <c r="Q23" i="5"/>
  <c r="D17" i="8" s="1"/>
  <c r="T5" i="5"/>
  <c r="T23" i="5" s="1"/>
  <c r="L9" i="1"/>
  <c r="H26" i="1"/>
  <c r="L16" i="1" s="1"/>
  <c r="M16" i="1" s="1"/>
  <c r="C14" i="15" l="1"/>
  <c r="C12" i="15"/>
  <c r="C11" i="15"/>
  <c r="C18" i="15"/>
  <c r="C20" i="15"/>
  <c r="C8" i="15"/>
  <c r="C9" i="15"/>
  <c r="B10" i="15"/>
  <c r="D7" i="15"/>
  <c r="C7" i="15"/>
  <c r="C11" i="8"/>
  <c r="E19" i="8" s="1"/>
  <c r="B30" i="15"/>
  <c r="C5" i="15"/>
  <c r="C6" i="15"/>
  <c r="C4" i="15"/>
  <c r="F17" i="8"/>
  <c r="L14" i="1"/>
  <c r="D10" i="15" l="1"/>
  <c r="C10" i="15"/>
  <c r="C29" i="15"/>
  <c r="C28" i="15"/>
  <c r="E18" i="8"/>
  <c r="E16" i="8"/>
  <c r="E15" i="8"/>
  <c r="E17" i="8"/>
  <c r="B13" i="15"/>
  <c r="D13" i="15" s="1"/>
  <c r="C30" i="15" l="1"/>
  <c r="C13" i="15"/>
  <c r="B15" i="15"/>
  <c r="C15" i="15" l="1"/>
  <c r="D15" i="15"/>
  <c r="K32" i="16" l="1"/>
  <c r="D63" i="16" s="1"/>
  <c r="D68" i="16" l="1"/>
  <c r="B16" i="15"/>
  <c r="C16" i="15" l="1"/>
  <c r="B17" i="15"/>
  <c r="D16" i="15"/>
  <c r="C17" i="15" l="1"/>
  <c r="B34" i="15"/>
  <c r="D17" i="15"/>
  <c r="B19" i="15"/>
  <c r="B33" i="15"/>
  <c r="C19" i="15" l="1"/>
  <c r="D19" i="15"/>
  <c r="B21" i="15"/>
  <c r="D21" i="15" l="1"/>
  <c r="C21" i="15"/>
</calcChain>
</file>

<file path=xl/comments1.xml><?xml version="1.0" encoding="utf-8"?>
<comments xmlns="http://schemas.openxmlformats.org/spreadsheetml/2006/main">
  <authors>
    <author>Windows User</author>
    <author>Amilcar Arzubi</author>
  </authors>
  <commentList>
    <comment ref="D5" authorId="0" shapeId="0">
      <text>
        <r>
          <rPr>
            <sz val="9"/>
            <color indexed="81"/>
            <rFont val="Tahoma"/>
            <family val="2"/>
          </rPr>
          <t xml:space="preserve">% de afectación actividad CRIA (máximo 100%)
</t>
        </r>
      </text>
    </comment>
    <comment ref="D13" authorId="0" shapeId="0">
      <text>
        <r>
          <rPr>
            <sz val="9"/>
            <color indexed="81"/>
            <rFont val="Tahoma"/>
            <family val="2"/>
          </rPr>
          <t xml:space="preserve">% de afectación actividad CRIA (máximo 100%)
</t>
        </r>
      </text>
    </comment>
    <comment ref="I13" authorId="1" shapeId="0">
      <text>
        <r>
          <rPr>
            <sz val="9"/>
            <color indexed="81"/>
            <rFont val="Tahoma"/>
            <family val="2"/>
          </rPr>
          <t>está afectado por el % afectado a la cría</t>
        </r>
      </text>
    </comment>
    <comment ref="I34" authorId="1" shapeId="0">
      <text>
        <r>
          <rPr>
            <sz val="9"/>
            <color indexed="81"/>
            <rFont val="Tahoma"/>
            <family val="2"/>
          </rPr>
          <t>está afectado por el % afectado a la cría</t>
        </r>
      </text>
    </comment>
    <comment ref="I41" authorId="1" shapeId="0">
      <text>
        <r>
          <rPr>
            <sz val="9"/>
            <color indexed="81"/>
            <rFont val="Tahoma"/>
            <family val="2"/>
          </rPr>
          <t>está afectado por el % afectado a la cría</t>
        </r>
      </text>
    </comment>
    <comment ref="D48" authorId="0" shapeId="0">
      <text>
        <r>
          <rPr>
            <sz val="9"/>
            <color indexed="81"/>
            <rFont val="Tahoma"/>
            <family val="2"/>
          </rPr>
          <t xml:space="preserve">% de afectación actividad CRIA (máximo 100%)
</t>
        </r>
      </text>
    </comment>
    <comment ref="I48" authorId="1" shapeId="0">
      <text>
        <r>
          <rPr>
            <sz val="9"/>
            <color indexed="81"/>
            <rFont val="Tahoma"/>
            <family val="2"/>
          </rPr>
          <t>está afectado por el % afectado a la cría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B5" authorId="0" shapeId="0">
      <text>
        <r>
          <rPr>
            <sz val="8"/>
            <color indexed="81"/>
            <rFont val="Tahoma"/>
            <family val="2"/>
          </rPr>
          <t>Cargar el nombre de la pastura</t>
        </r>
      </text>
    </comment>
    <comment ref="F5" authorId="0" shapeId="0">
      <text>
        <r>
          <rPr>
            <sz val="9"/>
            <color indexed="81"/>
            <rFont val="Tahoma"/>
            <family val="2"/>
          </rPr>
          <t xml:space="preserve">Año de cierre de ejercicio de la implantación
</t>
        </r>
      </text>
    </comment>
    <comment ref="I5" authorId="0" shapeId="0">
      <text>
        <r>
          <rPr>
            <sz val="8"/>
            <color indexed="81"/>
            <rFont val="Tahoma"/>
            <family val="2"/>
          </rPr>
          <t>Cargar el nombre de la pastura</t>
        </r>
      </text>
    </comment>
    <comment ref="M5" authorId="0" shapeId="0">
      <text>
        <r>
          <rPr>
            <sz val="9"/>
            <color indexed="81"/>
            <rFont val="Tahoma"/>
            <family val="2"/>
          </rPr>
          <t xml:space="preserve">Año de cierre de ejercicio de la implantación
</t>
        </r>
      </text>
    </comment>
    <comment ref="P5" authorId="0" shapeId="0">
      <text>
        <r>
          <rPr>
            <sz val="8"/>
            <color indexed="81"/>
            <rFont val="Tahoma"/>
            <family val="2"/>
          </rPr>
          <t>Cargar el nombre de la pastura</t>
        </r>
      </text>
    </comment>
    <comment ref="T5" authorId="0" shapeId="0">
      <text>
        <r>
          <rPr>
            <sz val="9"/>
            <color indexed="81"/>
            <rFont val="Tahoma"/>
            <family val="2"/>
          </rPr>
          <t xml:space="preserve">Año de cierre de ejercicio de la implantación
</t>
        </r>
      </text>
    </comment>
    <comment ref="W5" authorId="0" shapeId="0">
      <text>
        <r>
          <rPr>
            <sz val="8"/>
            <color indexed="81"/>
            <rFont val="Tahoma"/>
            <family val="2"/>
          </rPr>
          <t>Cargar el nombre de la pastura</t>
        </r>
      </text>
    </comment>
    <comment ref="AA5" authorId="0" shapeId="0">
      <text>
        <r>
          <rPr>
            <sz val="9"/>
            <color indexed="81"/>
            <rFont val="Tahoma"/>
            <family val="2"/>
          </rPr>
          <t xml:space="preserve">Año de cierre de ejercicio de la implantación
</t>
        </r>
      </text>
    </comment>
    <comment ref="C7" authorId="0" shapeId="0">
      <text>
        <r>
          <rPr>
            <sz val="9"/>
            <color indexed="81"/>
            <rFont val="Tahoma"/>
            <family val="2"/>
          </rPr>
          <t xml:space="preserve">Cantidad de unidades del laboreo realizado
</t>
        </r>
      </text>
    </comment>
    <comment ref="J7" authorId="0" shapeId="0">
      <text>
        <r>
          <rPr>
            <sz val="9"/>
            <color indexed="81"/>
            <rFont val="Tahoma"/>
            <family val="2"/>
          </rPr>
          <t xml:space="preserve">Cantidad de unidades del laboreo realizado
</t>
        </r>
      </text>
    </comment>
    <comment ref="Q7" authorId="0" shapeId="0">
      <text>
        <r>
          <rPr>
            <sz val="9"/>
            <color indexed="81"/>
            <rFont val="Tahoma"/>
            <family val="2"/>
          </rPr>
          <t xml:space="preserve">Cantidad de unidades del laboreo realizado
</t>
        </r>
      </text>
    </comment>
    <comment ref="X7" authorId="0" shapeId="0">
      <text>
        <r>
          <rPr>
            <sz val="9"/>
            <color indexed="81"/>
            <rFont val="Tahoma"/>
            <family val="2"/>
          </rPr>
          <t xml:space="preserve">Cantidad de unidades del laboreo realizado
</t>
        </r>
      </text>
    </comment>
    <comment ref="B12" authorId="0" shapeId="0">
      <text>
        <r>
          <rPr>
            <sz val="9"/>
            <color indexed="81"/>
            <rFont val="Tahoma"/>
            <family val="2"/>
          </rPr>
          <t xml:space="preserve">Detalle de semillas usadas en la pastura
</t>
        </r>
      </text>
    </comment>
    <comment ref="I12" authorId="0" shapeId="0">
      <text>
        <r>
          <rPr>
            <sz val="9"/>
            <color indexed="81"/>
            <rFont val="Tahoma"/>
            <family val="2"/>
          </rPr>
          <t xml:space="preserve">Detalle de semillas usadas en la pastura
</t>
        </r>
      </text>
    </comment>
    <comment ref="P12" authorId="0" shapeId="0">
      <text>
        <r>
          <rPr>
            <sz val="9"/>
            <color indexed="81"/>
            <rFont val="Tahoma"/>
            <family val="2"/>
          </rPr>
          <t xml:space="preserve">Detalle del fertilizante u otro insumo que no sea semilla
</t>
        </r>
      </text>
    </comment>
    <comment ref="W12" authorId="0" shapeId="0">
      <text>
        <r>
          <rPr>
            <sz val="9"/>
            <color indexed="81"/>
            <rFont val="Tahoma"/>
            <family val="2"/>
          </rPr>
          <t xml:space="preserve">Detalle de semillas usadas en la pastura
</t>
        </r>
      </text>
    </comment>
    <comment ref="L13" authorId="0" shapeId="0">
      <text>
        <r>
          <rPr>
            <sz val="9"/>
            <color indexed="81"/>
            <rFont val="Tahoma"/>
            <family val="2"/>
          </rPr>
          <t xml:space="preserve">Precio por unidad
</t>
        </r>
      </text>
    </comment>
    <comment ref="Q13" authorId="0" shapeId="0">
      <text>
        <r>
          <rPr>
            <sz val="9"/>
            <color indexed="81"/>
            <rFont val="Tahoma"/>
            <family val="2"/>
          </rPr>
          <t xml:space="preserve">Unidades del insumo que se usaron en la implantación
</t>
        </r>
      </text>
    </comment>
    <comment ref="R13" authorId="0" shapeId="0">
      <text>
        <r>
          <rPr>
            <sz val="9"/>
            <color indexed="81"/>
            <rFont val="Tahoma"/>
            <family val="2"/>
          </rPr>
          <t xml:space="preserve">Unidad en que se compra y paga el fertilizante o insumo
</t>
        </r>
      </text>
    </comment>
    <comment ref="Z13" authorId="0" shapeId="0">
      <text>
        <r>
          <rPr>
            <sz val="9"/>
            <color indexed="81"/>
            <rFont val="Tahoma"/>
            <family val="2"/>
          </rPr>
          <t xml:space="preserve">Precio por unidad
</t>
        </r>
      </text>
    </comment>
    <comment ref="B18" authorId="0" shapeId="0">
      <text>
        <r>
          <rPr>
            <sz val="9"/>
            <color indexed="81"/>
            <rFont val="Tahoma"/>
            <family val="2"/>
          </rPr>
          <t xml:space="preserve">Detalle del fertilizante u otro insumo que no sea semilla
</t>
        </r>
      </text>
    </comment>
    <comment ref="I18" authorId="0" shapeId="0">
      <text>
        <r>
          <rPr>
            <sz val="9"/>
            <color indexed="81"/>
            <rFont val="Tahoma"/>
            <family val="2"/>
          </rPr>
          <t xml:space="preserve">Detalle del fertilizante u otro insumo que no sea semilla
</t>
        </r>
      </text>
    </comment>
    <comment ref="W18" authorId="0" shapeId="0">
      <text>
        <r>
          <rPr>
            <sz val="9"/>
            <color indexed="81"/>
            <rFont val="Tahoma"/>
            <family val="2"/>
          </rPr>
          <t xml:space="preserve">Detalle del fertilizante u otro insumo que no sea semilla
</t>
        </r>
      </text>
    </comment>
    <comment ref="C19" authorId="0" shapeId="0">
      <text>
        <r>
          <rPr>
            <sz val="9"/>
            <color indexed="81"/>
            <rFont val="Tahoma"/>
            <family val="2"/>
          </rPr>
          <t xml:space="preserve">Unidades del insumo que se usaron en la implantación
</t>
        </r>
      </text>
    </comment>
    <comment ref="D19" authorId="0" shapeId="0">
      <text>
        <r>
          <rPr>
            <sz val="9"/>
            <color indexed="81"/>
            <rFont val="Tahoma"/>
            <family val="2"/>
          </rPr>
          <t xml:space="preserve">Unidad en que se compra y paga el fertilizante o insumo
</t>
        </r>
      </text>
    </comment>
    <comment ref="E19" authorId="0" shapeId="0">
      <text>
        <r>
          <rPr>
            <sz val="9"/>
            <color indexed="81"/>
            <rFont val="Tahoma"/>
            <family val="2"/>
          </rPr>
          <t xml:space="preserve">Precio por unidad del fertilizante o insumo
</t>
        </r>
      </text>
    </comment>
    <comment ref="J19" authorId="0" shapeId="0">
      <text>
        <r>
          <rPr>
            <sz val="9"/>
            <color indexed="81"/>
            <rFont val="Tahoma"/>
            <family val="2"/>
          </rPr>
          <t xml:space="preserve">Unidades del insumo que se usaron en la implantación
</t>
        </r>
      </text>
    </comment>
    <comment ref="K19" authorId="0" shapeId="0">
      <text>
        <r>
          <rPr>
            <sz val="9"/>
            <color indexed="81"/>
            <rFont val="Tahoma"/>
            <family val="2"/>
          </rPr>
          <t xml:space="preserve">Unidad en que se compra y paga el fertilizante o insumo
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 xml:space="preserve">Precio por unidad del fertilizante o insumo
</t>
        </r>
      </text>
    </comment>
    <comment ref="X19" authorId="0" shapeId="0">
      <text>
        <r>
          <rPr>
            <sz val="9"/>
            <color indexed="81"/>
            <rFont val="Tahoma"/>
            <family val="2"/>
          </rPr>
          <t xml:space="preserve">Unidades del insumo que se usaron en la implantación
</t>
        </r>
      </text>
    </comment>
    <comment ref="Y19" authorId="0" shapeId="0">
      <text>
        <r>
          <rPr>
            <sz val="9"/>
            <color indexed="81"/>
            <rFont val="Tahoma"/>
            <family val="2"/>
          </rPr>
          <t xml:space="preserve">Unidad en que se compra y paga el fertilizante o insumo
</t>
        </r>
      </text>
    </comment>
    <comment ref="Z19" authorId="0" shapeId="0">
      <text>
        <r>
          <rPr>
            <sz val="9"/>
            <color indexed="81"/>
            <rFont val="Tahoma"/>
            <family val="2"/>
          </rPr>
          <t xml:space="preserve">Precio por unidad del fertilizante o insumo
</t>
        </r>
      </text>
    </comment>
    <comment ref="F25" authorId="0" shapeId="0">
      <text>
        <r>
          <rPr>
            <sz val="9"/>
            <color indexed="81"/>
            <rFont val="Tahoma"/>
            <family val="2"/>
          </rPr>
          <t xml:space="preserve">Años de vida útil estimada de la pastura (generalmente 3 o más)
</t>
        </r>
      </text>
    </comment>
    <comment ref="M25" authorId="0" shapeId="0">
      <text>
        <r>
          <rPr>
            <sz val="9"/>
            <color indexed="81"/>
            <rFont val="Tahoma"/>
            <family val="2"/>
          </rPr>
          <t xml:space="preserve">Años de vida útil estimada de la pastura (generalmente 4 o más)
</t>
        </r>
      </text>
    </comment>
    <comment ref="B28" authorId="0" shapeId="0">
      <text>
        <r>
          <rPr>
            <sz val="8"/>
            <color indexed="81"/>
            <rFont val="Tahoma"/>
            <family val="2"/>
          </rPr>
          <t>Cargar el nombre de la pastura</t>
        </r>
      </text>
    </comment>
    <comment ref="F28" authorId="0" shapeId="0">
      <text>
        <r>
          <rPr>
            <sz val="9"/>
            <color indexed="81"/>
            <rFont val="Tahoma"/>
            <family val="2"/>
          </rPr>
          <t xml:space="preserve">Año de cierre de ejercicio de la implantación
</t>
        </r>
      </text>
    </comment>
    <comment ref="M28" authorId="0" shapeId="0">
      <text>
        <r>
          <rPr>
            <sz val="9"/>
            <color indexed="81"/>
            <rFont val="Tahoma"/>
            <family val="2"/>
          </rPr>
          <t xml:space="preserve">Año de cierre de ejercicio de la implantación
</t>
        </r>
      </text>
    </comment>
    <comment ref="P28" authorId="0" shapeId="0">
      <text>
        <r>
          <rPr>
            <sz val="8"/>
            <color indexed="81"/>
            <rFont val="Tahoma"/>
            <family val="2"/>
          </rPr>
          <t>Cargar el nombre de la pastura</t>
        </r>
      </text>
    </comment>
    <comment ref="AA28" authorId="0" shapeId="0">
      <text>
        <r>
          <rPr>
            <sz val="9"/>
            <color indexed="81"/>
            <rFont val="Tahoma"/>
            <family val="2"/>
          </rPr>
          <t xml:space="preserve">Año de cierre de ejercicio de la implantación
</t>
        </r>
      </text>
    </comment>
    <comment ref="C30" authorId="0" shapeId="0">
      <text>
        <r>
          <rPr>
            <sz val="9"/>
            <color indexed="81"/>
            <rFont val="Tahoma"/>
            <family val="2"/>
          </rPr>
          <t xml:space="preserve">Cantidad de unidades del laboreo realizado
</t>
        </r>
      </text>
    </comment>
    <comment ref="J30" authorId="0" shapeId="0">
      <text>
        <r>
          <rPr>
            <sz val="9"/>
            <color indexed="81"/>
            <rFont val="Tahoma"/>
            <family val="2"/>
          </rPr>
          <t xml:space="preserve">Cantidad de unidades del laboreo realizado
</t>
        </r>
      </text>
    </comment>
    <comment ref="Q30" authorId="0" shapeId="0">
      <text>
        <r>
          <rPr>
            <sz val="9"/>
            <color indexed="81"/>
            <rFont val="Tahoma"/>
            <family val="2"/>
          </rPr>
          <t xml:space="preserve">Cantidad de unidades del laboreo realizado
</t>
        </r>
      </text>
    </comment>
    <comment ref="X30" authorId="0" shapeId="0">
      <text>
        <r>
          <rPr>
            <sz val="9"/>
            <color indexed="81"/>
            <rFont val="Tahoma"/>
            <family val="2"/>
          </rPr>
          <t xml:space="preserve">Cantidad de unidades del laboreo realizado
</t>
        </r>
      </text>
    </comment>
    <comment ref="B35" authorId="0" shapeId="0">
      <text>
        <r>
          <rPr>
            <sz val="9"/>
            <color indexed="81"/>
            <rFont val="Tahoma"/>
            <family val="2"/>
          </rPr>
          <t xml:space="preserve">Detalle de semillas usadas en la pastura
</t>
        </r>
      </text>
    </comment>
    <comment ref="I35" authorId="0" shapeId="0">
      <text>
        <r>
          <rPr>
            <sz val="9"/>
            <color indexed="81"/>
            <rFont val="Tahoma"/>
            <family val="2"/>
          </rPr>
          <t xml:space="preserve">Detalle de semillas usadas en la pastura
</t>
        </r>
      </text>
    </comment>
    <comment ref="P35" authorId="0" shapeId="0">
      <text>
        <r>
          <rPr>
            <sz val="9"/>
            <color indexed="81"/>
            <rFont val="Tahoma"/>
            <family val="2"/>
          </rPr>
          <t xml:space="preserve">Detalle del fertilizante u otro insumo que no sea semilla
</t>
        </r>
      </text>
    </comment>
    <comment ref="W35" authorId="0" shapeId="0">
      <text>
        <r>
          <rPr>
            <sz val="9"/>
            <color indexed="81"/>
            <rFont val="Tahoma"/>
            <family val="2"/>
          </rPr>
          <t xml:space="preserve">Detalle de semillas usadas en la pastura
</t>
        </r>
      </text>
    </comment>
    <comment ref="E36" authorId="0" shapeId="0">
      <text>
        <r>
          <rPr>
            <sz val="9"/>
            <color indexed="81"/>
            <rFont val="Tahoma"/>
            <family val="2"/>
          </rPr>
          <t xml:space="preserve">Precio por unidad
</t>
        </r>
      </text>
    </comment>
    <comment ref="L36" authorId="0" shapeId="0">
      <text>
        <r>
          <rPr>
            <sz val="9"/>
            <color indexed="81"/>
            <rFont val="Tahoma"/>
            <family val="2"/>
          </rPr>
          <t xml:space="preserve">Precio por unidad
</t>
        </r>
      </text>
    </comment>
    <comment ref="Q36" authorId="0" shapeId="0">
      <text>
        <r>
          <rPr>
            <sz val="9"/>
            <color indexed="81"/>
            <rFont val="Tahoma"/>
            <family val="2"/>
          </rPr>
          <t xml:space="preserve">Unidades del insumo que se usaron en la implantación
</t>
        </r>
      </text>
    </comment>
    <comment ref="R36" authorId="0" shapeId="0">
      <text>
        <r>
          <rPr>
            <sz val="9"/>
            <color indexed="81"/>
            <rFont val="Tahoma"/>
            <family val="2"/>
          </rPr>
          <t xml:space="preserve">Unidad en que se compra y paga el fertilizante o insumo
</t>
        </r>
      </text>
    </comment>
    <comment ref="Z36" authorId="0" shapeId="0">
      <text>
        <r>
          <rPr>
            <sz val="9"/>
            <color indexed="81"/>
            <rFont val="Tahoma"/>
            <family val="2"/>
          </rPr>
          <t xml:space="preserve">Precio por unidad
</t>
        </r>
      </text>
    </comment>
    <comment ref="B41" authorId="0" shapeId="0">
      <text>
        <r>
          <rPr>
            <sz val="9"/>
            <color indexed="81"/>
            <rFont val="Tahoma"/>
            <family val="2"/>
          </rPr>
          <t xml:space="preserve">Detalle del fertilizante u otro insumo que no sea semilla
</t>
        </r>
      </text>
    </comment>
    <comment ref="I41" authorId="0" shapeId="0">
      <text>
        <r>
          <rPr>
            <sz val="9"/>
            <color indexed="81"/>
            <rFont val="Tahoma"/>
            <family val="2"/>
          </rPr>
          <t xml:space="preserve">Detalle del fertilizante u otro insumo que no sea semilla
</t>
        </r>
      </text>
    </comment>
    <comment ref="W41" authorId="0" shapeId="0">
      <text>
        <r>
          <rPr>
            <sz val="9"/>
            <color indexed="81"/>
            <rFont val="Tahoma"/>
            <family val="2"/>
          </rPr>
          <t xml:space="preserve">Detalle del fertilizante u otro insumo que no sea semilla
</t>
        </r>
      </text>
    </comment>
    <comment ref="C42" authorId="0" shapeId="0">
      <text>
        <r>
          <rPr>
            <sz val="9"/>
            <color indexed="81"/>
            <rFont val="Tahoma"/>
            <family val="2"/>
          </rPr>
          <t xml:space="preserve">Unidades del insumo que se usaron en la implantación
</t>
        </r>
      </text>
    </comment>
    <comment ref="D42" authorId="0" shapeId="0">
      <text>
        <r>
          <rPr>
            <sz val="9"/>
            <color indexed="81"/>
            <rFont val="Tahoma"/>
            <family val="2"/>
          </rPr>
          <t xml:space="preserve">Unidad en que se compra y paga el fertilizante o insumo
</t>
        </r>
      </text>
    </comment>
    <comment ref="E42" authorId="0" shapeId="0">
      <text>
        <r>
          <rPr>
            <sz val="9"/>
            <color indexed="81"/>
            <rFont val="Tahoma"/>
            <family val="2"/>
          </rPr>
          <t xml:space="preserve">Precio por unidad del fertilizante o insumo
</t>
        </r>
      </text>
    </comment>
    <comment ref="J42" authorId="0" shapeId="0">
      <text>
        <r>
          <rPr>
            <sz val="9"/>
            <color indexed="81"/>
            <rFont val="Tahoma"/>
            <family val="2"/>
          </rPr>
          <t xml:space="preserve">Unidades del insumo que se usaron en la implantación
</t>
        </r>
      </text>
    </comment>
    <comment ref="K42" authorId="0" shapeId="0">
      <text>
        <r>
          <rPr>
            <sz val="9"/>
            <color indexed="81"/>
            <rFont val="Tahoma"/>
            <family val="2"/>
          </rPr>
          <t xml:space="preserve">Unidad en que se compra y paga el fertilizante o insumo
</t>
        </r>
      </text>
    </comment>
    <comment ref="L42" authorId="0" shapeId="0">
      <text>
        <r>
          <rPr>
            <sz val="9"/>
            <color indexed="81"/>
            <rFont val="Tahoma"/>
            <family val="2"/>
          </rPr>
          <t xml:space="preserve">Precio por unidad del fertilizante o insumo
</t>
        </r>
      </text>
    </comment>
    <comment ref="X42" authorId="0" shapeId="0">
      <text>
        <r>
          <rPr>
            <sz val="9"/>
            <color indexed="81"/>
            <rFont val="Tahoma"/>
            <family val="2"/>
          </rPr>
          <t xml:space="preserve">Unidades del insumo que se usaron en la implantación
</t>
        </r>
      </text>
    </comment>
    <comment ref="Y42" authorId="0" shapeId="0">
      <text>
        <r>
          <rPr>
            <sz val="9"/>
            <color indexed="81"/>
            <rFont val="Tahoma"/>
            <family val="2"/>
          </rPr>
          <t xml:space="preserve">Unidad en que se compra y paga el fertilizante o insumo
</t>
        </r>
      </text>
    </comment>
    <comment ref="Z42" authorId="0" shapeId="0">
      <text>
        <r>
          <rPr>
            <sz val="9"/>
            <color indexed="81"/>
            <rFont val="Tahoma"/>
            <family val="2"/>
          </rPr>
          <t xml:space="preserve">Precio por unidad del fertilizante o insumo
</t>
        </r>
      </text>
    </comment>
    <comment ref="F48" authorId="0" shapeId="0">
      <text>
        <r>
          <rPr>
            <sz val="9"/>
            <color indexed="81"/>
            <rFont val="Tahoma"/>
            <family val="2"/>
          </rPr>
          <t xml:space="preserve">Años de vida útil estimada de la pastura (generalmente 4 o más)
</t>
        </r>
      </text>
    </comment>
    <comment ref="M48" authorId="0" shapeId="0">
      <text>
        <r>
          <rPr>
            <sz val="9"/>
            <color indexed="81"/>
            <rFont val="Tahoma"/>
            <family val="2"/>
          </rPr>
          <t xml:space="preserve">Años de vida útil estimada de la pastura (generalmente 4 o más)
</t>
        </r>
      </text>
    </comment>
    <comment ref="AA48" authorId="0" shapeId="0">
      <text>
        <r>
          <rPr>
            <sz val="9"/>
            <color indexed="81"/>
            <rFont val="Tahoma"/>
            <family val="2"/>
          </rPr>
          <t xml:space="preserve">Años de vida útil estimada de la pastura (generalmente 4 o más)
</t>
        </r>
      </text>
    </comment>
    <comment ref="B51" authorId="0" shapeId="0">
      <text>
        <r>
          <rPr>
            <sz val="8"/>
            <color indexed="81"/>
            <rFont val="Tahoma"/>
            <family val="2"/>
          </rPr>
          <t>Cargar el nombre de la pastura</t>
        </r>
      </text>
    </comment>
    <comment ref="F51" authorId="0" shapeId="0">
      <text>
        <r>
          <rPr>
            <sz val="9"/>
            <color indexed="81"/>
            <rFont val="Tahoma"/>
            <family val="2"/>
          </rPr>
          <t xml:space="preserve">Año de cierre de ejercicio de la implantación
</t>
        </r>
      </text>
    </comment>
    <comment ref="I51" authorId="0" shapeId="0">
      <text>
        <r>
          <rPr>
            <sz val="8"/>
            <color indexed="81"/>
            <rFont val="Tahoma"/>
            <family val="2"/>
          </rPr>
          <t>Cargar el nombre de la pastura</t>
        </r>
      </text>
    </comment>
    <comment ref="M51" authorId="0" shapeId="0">
      <text>
        <r>
          <rPr>
            <sz val="9"/>
            <color indexed="81"/>
            <rFont val="Tahoma"/>
            <family val="2"/>
          </rPr>
          <t xml:space="preserve">Año de cierre de ejercicio de la implantación
</t>
        </r>
      </text>
    </comment>
    <comment ref="W51" authorId="0" shapeId="0">
      <text>
        <r>
          <rPr>
            <sz val="8"/>
            <color indexed="81"/>
            <rFont val="Tahoma"/>
            <family val="2"/>
          </rPr>
          <t>Cargar el nombre de la pastura</t>
        </r>
      </text>
    </comment>
    <comment ref="Y51" authorId="0" shapeId="0">
      <text>
        <r>
          <rPr>
            <sz val="9"/>
            <color indexed="81"/>
            <rFont val="Tahoma"/>
            <family val="2"/>
          </rPr>
          <t xml:space="preserve">Nº de Hectáreas implantadas
</t>
        </r>
      </text>
    </comment>
    <comment ref="AA51" authorId="0" shapeId="0">
      <text>
        <r>
          <rPr>
            <sz val="9"/>
            <color indexed="81"/>
            <rFont val="Tahoma"/>
            <family val="2"/>
          </rPr>
          <t xml:space="preserve">Año de cierre de ejercicio de la implantación
</t>
        </r>
      </text>
    </comment>
    <comment ref="W52" authorId="0" shapeId="0">
      <text>
        <r>
          <rPr>
            <b/>
            <sz val="9"/>
            <color indexed="81"/>
            <rFont val="Tahoma"/>
            <family val="2"/>
          </rPr>
          <t>Detalle del laboreo realizado</t>
        </r>
      </text>
    </comment>
    <comment ref="C53" authorId="0" shapeId="0">
      <text>
        <r>
          <rPr>
            <sz val="9"/>
            <color indexed="81"/>
            <rFont val="Tahoma"/>
            <family val="2"/>
          </rPr>
          <t xml:space="preserve">Cantidad de unidades del laboreo realizado
</t>
        </r>
      </text>
    </comment>
    <comment ref="J53" authorId="0" shapeId="0">
      <text>
        <r>
          <rPr>
            <sz val="9"/>
            <color indexed="81"/>
            <rFont val="Tahoma"/>
            <family val="2"/>
          </rPr>
          <t xml:space="preserve">Cantidad de unidades del laboreo realizado
</t>
        </r>
      </text>
    </comment>
    <comment ref="X53" authorId="0" shapeId="0">
      <text>
        <r>
          <rPr>
            <sz val="9"/>
            <color indexed="81"/>
            <rFont val="Tahoma"/>
            <family val="2"/>
          </rPr>
          <t xml:space="preserve">Cantidad de unidades del laboreo realizado
</t>
        </r>
      </text>
    </comment>
    <comment ref="B58" authorId="0" shapeId="0">
      <text>
        <r>
          <rPr>
            <sz val="9"/>
            <color indexed="81"/>
            <rFont val="Tahoma"/>
            <family val="2"/>
          </rPr>
          <t xml:space="preserve">Detalle de semillas usadas en la pastura
</t>
        </r>
      </text>
    </comment>
    <comment ref="I58" authorId="0" shapeId="0">
      <text>
        <r>
          <rPr>
            <sz val="9"/>
            <color indexed="81"/>
            <rFont val="Tahoma"/>
            <family val="2"/>
          </rPr>
          <t xml:space="preserve">Detalle de semillas usadas en la pastura
</t>
        </r>
      </text>
    </comment>
    <comment ref="W58" authorId="0" shapeId="0">
      <text>
        <r>
          <rPr>
            <sz val="9"/>
            <color indexed="81"/>
            <rFont val="Tahoma"/>
            <family val="2"/>
          </rPr>
          <t xml:space="preserve">Detalle de semillas usadas en la pastura
</t>
        </r>
      </text>
    </comment>
    <comment ref="E59" authorId="0" shapeId="0">
      <text>
        <r>
          <rPr>
            <sz val="9"/>
            <color indexed="81"/>
            <rFont val="Tahoma"/>
            <family val="2"/>
          </rPr>
          <t xml:space="preserve">Precio por unidad
</t>
        </r>
      </text>
    </comment>
    <comment ref="L59" authorId="0" shapeId="0">
      <text>
        <r>
          <rPr>
            <sz val="9"/>
            <color indexed="81"/>
            <rFont val="Tahoma"/>
            <family val="2"/>
          </rPr>
          <t xml:space="preserve">Precio por unidad
</t>
        </r>
      </text>
    </comment>
    <comment ref="Z59" authorId="0" shapeId="0">
      <text>
        <r>
          <rPr>
            <sz val="9"/>
            <color indexed="81"/>
            <rFont val="Tahoma"/>
            <family val="2"/>
          </rPr>
          <t xml:space="preserve">Precio por unidad
</t>
        </r>
      </text>
    </comment>
    <comment ref="B64" authorId="0" shapeId="0">
      <text>
        <r>
          <rPr>
            <sz val="9"/>
            <color indexed="81"/>
            <rFont val="Tahoma"/>
            <family val="2"/>
          </rPr>
          <t xml:space="preserve">Detalle del fertilizante u otro insumo que no sea semilla
</t>
        </r>
      </text>
    </comment>
    <comment ref="I64" authorId="0" shapeId="0">
      <text>
        <r>
          <rPr>
            <sz val="9"/>
            <color indexed="81"/>
            <rFont val="Tahoma"/>
            <family val="2"/>
          </rPr>
          <t xml:space="preserve">Detalle del fertilizante u otro insumo que no sea semilla
</t>
        </r>
      </text>
    </comment>
    <comment ref="W64" authorId="0" shapeId="0">
      <text>
        <r>
          <rPr>
            <sz val="9"/>
            <color indexed="81"/>
            <rFont val="Tahoma"/>
            <family val="2"/>
          </rPr>
          <t xml:space="preserve">Detalle del fertilizante u otro insumo que no sea semilla
</t>
        </r>
      </text>
    </comment>
    <comment ref="C65" authorId="0" shapeId="0">
      <text>
        <r>
          <rPr>
            <sz val="9"/>
            <color indexed="81"/>
            <rFont val="Tahoma"/>
            <family val="2"/>
          </rPr>
          <t xml:space="preserve">Unidades del insumo que se usaron en la implantación
</t>
        </r>
      </text>
    </comment>
    <comment ref="D65" authorId="0" shapeId="0">
      <text>
        <r>
          <rPr>
            <sz val="9"/>
            <color indexed="81"/>
            <rFont val="Tahoma"/>
            <family val="2"/>
          </rPr>
          <t xml:space="preserve">Unidad en que se compra y paga el fertilizante o insumo
</t>
        </r>
      </text>
    </comment>
    <comment ref="E65" authorId="0" shapeId="0">
      <text>
        <r>
          <rPr>
            <sz val="9"/>
            <color indexed="81"/>
            <rFont val="Tahoma"/>
            <family val="2"/>
          </rPr>
          <t xml:space="preserve">Precio por unidad del fertilizante o insumo
</t>
        </r>
      </text>
    </comment>
    <comment ref="J65" authorId="0" shapeId="0">
      <text>
        <r>
          <rPr>
            <sz val="9"/>
            <color indexed="81"/>
            <rFont val="Tahoma"/>
            <family val="2"/>
          </rPr>
          <t xml:space="preserve">Unidades del insumo que se usaron en la implantación
</t>
        </r>
      </text>
    </comment>
    <comment ref="K65" authorId="0" shapeId="0">
      <text>
        <r>
          <rPr>
            <sz val="9"/>
            <color indexed="81"/>
            <rFont val="Tahoma"/>
            <family val="2"/>
          </rPr>
          <t xml:space="preserve">Unidad en que se compra y paga el fertilizante o insumo
</t>
        </r>
      </text>
    </comment>
    <comment ref="L65" authorId="0" shapeId="0">
      <text>
        <r>
          <rPr>
            <sz val="9"/>
            <color indexed="81"/>
            <rFont val="Tahoma"/>
            <family val="2"/>
          </rPr>
          <t xml:space="preserve">Precio por unidad del fertilizante o insumo
</t>
        </r>
      </text>
    </comment>
    <comment ref="X65" authorId="0" shapeId="0">
      <text>
        <r>
          <rPr>
            <sz val="9"/>
            <color indexed="81"/>
            <rFont val="Tahoma"/>
            <family val="2"/>
          </rPr>
          <t xml:space="preserve">Unidades del insumo que se usaron en la implantación
</t>
        </r>
      </text>
    </comment>
    <comment ref="Y65" authorId="0" shapeId="0">
      <text>
        <r>
          <rPr>
            <sz val="9"/>
            <color indexed="81"/>
            <rFont val="Tahoma"/>
            <family val="2"/>
          </rPr>
          <t xml:space="preserve">Unidad en que se compra y paga el fertilizante o insumo
</t>
        </r>
      </text>
    </comment>
    <comment ref="Z65" authorId="0" shapeId="0">
      <text>
        <r>
          <rPr>
            <sz val="9"/>
            <color indexed="81"/>
            <rFont val="Tahoma"/>
            <family val="2"/>
          </rPr>
          <t xml:space="preserve">Precio por unidad del fertilizante o insumo
</t>
        </r>
      </text>
    </comment>
    <comment ref="F71" authorId="0" shapeId="0">
      <text>
        <r>
          <rPr>
            <sz val="9"/>
            <color indexed="81"/>
            <rFont val="Tahoma"/>
            <family val="2"/>
          </rPr>
          <t xml:space="preserve">Años de vida útil estimada de la pastura (generalmente 4 o más)
</t>
        </r>
      </text>
    </comment>
    <comment ref="M71" authorId="0" shapeId="0">
      <text>
        <r>
          <rPr>
            <sz val="9"/>
            <color indexed="81"/>
            <rFont val="Tahoma"/>
            <family val="2"/>
          </rPr>
          <t xml:space="preserve">Años de vida útil estimada de la pastura (generalmente 4 o más)
</t>
        </r>
      </text>
    </comment>
    <comment ref="AA71" authorId="0" shapeId="0">
      <text>
        <r>
          <rPr>
            <sz val="9"/>
            <color indexed="81"/>
            <rFont val="Tahoma"/>
            <family val="2"/>
          </rPr>
          <t xml:space="preserve">Años de vida útil estimada de la pastura (generalmente 4 o más)
</t>
        </r>
      </text>
    </comment>
    <comment ref="B74" authorId="0" shapeId="0">
      <text>
        <r>
          <rPr>
            <sz val="8"/>
            <color indexed="81"/>
            <rFont val="Tahoma"/>
            <family val="2"/>
          </rPr>
          <t>Cargar el nombre de la pastura</t>
        </r>
      </text>
    </comment>
    <comment ref="F74" authorId="0" shapeId="0">
      <text>
        <r>
          <rPr>
            <sz val="9"/>
            <color indexed="81"/>
            <rFont val="Tahoma"/>
            <family val="2"/>
          </rPr>
          <t xml:space="preserve">Año de cierre de ejercicio de la implantación
</t>
        </r>
      </text>
    </comment>
    <comment ref="W74" authorId="0" shapeId="0">
      <text>
        <r>
          <rPr>
            <sz val="8"/>
            <color indexed="81"/>
            <rFont val="Tahoma"/>
            <family val="2"/>
          </rPr>
          <t>Cargar el nombre de la pastura</t>
        </r>
      </text>
    </comment>
    <comment ref="Y74" authorId="0" shapeId="0">
      <text>
        <r>
          <rPr>
            <sz val="9"/>
            <color indexed="81"/>
            <rFont val="Tahoma"/>
            <family val="2"/>
          </rPr>
          <t xml:space="preserve">Nº de Hectáreas implantadas
</t>
        </r>
      </text>
    </comment>
    <comment ref="AA74" authorId="0" shapeId="0">
      <text>
        <r>
          <rPr>
            <sz val="9"/>
            <color indexed="81"/>
            <rFont val="Tahoma"/>
            <family val="2"/>
          </rPr>
          <t xml:space="preserve">Año de cierre de ejercicio de la implantación
</t>
        </r>
      </text>
    </comment>
    <comment ref="W75" authorId="0" shapeId="0">
      <text>
        <r>
          <rPr>
            <b/>
            <sz val="9"/>
            <color indexed="81"/>
            <rFont val="Tahoma"/>
            <family val="2"/>
          </rPr>
          <t>Detalle del laboreo realizado</t>
        </r>
      </text>
    </comment>
    <comment ref="X76" authorId="0" shapeId="0">
      <text>
        <r>
          <rPr>
            <sz val="9"/>
            <color indexed="81"/>
            <rFont val="Tahoma"/>
            <family val="2"/>
          </rPr>
          <t xml:space="preserve">Cantidad de unidades del laboreo realizado
</t>
        </r>
      </text>
    </comment>
    <comment ref="B81" authorId="0" shapeId="0">
      <text>
        <r>
          <rPr>
            <sz val="9"/>
            <color indexed="81"/>
            <rFont val="Tahoma"/>
            <family val="2"/>
          </rPr>
          <t xml:space="preserve">Detalle de semillas usadas en la pastura
</t>
        </r>
      </text>
    </comment>
    <comment ref="W81" authorId="0" shapeId="0">
      <text>
        <r>
          <rPr>
            <sz val="9"/>
            <color indexed="81"/>
            <rFont val="Tahoma"/>
            <family val="2"/>
          </rPr>
          <t xml:space="preserve">Detalle de semillas usadas en la pastura
</t>
        </r>
      </text>
    </comment>
    <comment ref="E82" authorId="0" shapeId="0">
      <text>
        <r>
          <rPr>
            <sz val="9"/>
            <color indexed="81"/>
            <rFont val="Tahoma"/>
            <family val="2"/>
          </rPr>
          <t xml:space="preserve">Precio por unidad
</t>
        </r>
      </text>
    </comment>
    <comment ref="Z82" authorId="0" shapeId="0">
      <text>
        <r>
          <rPr>
            <sz val="9"/>
            <color indexed="81"/>
            <rFont val="Tahoma"/>
            <family val="2"/>
          </rPr>
          <t xml:space="preserve">Precio por unidad
</t>
        </r>
      </text>
    </comment>
    <comment ref="B87" authorId="0" shapeId="0">
      <text>
        <r>
          <rPr>
            <sz val="9"/>
            <color indexed="81"/>
            <rFont val="Tahoma"/>
            <family val="2"/>
          </rPr>
          <t xml:space="preserve">Detalle del fertilizante u otro insumo que no sea semilla
</t>
        </r>
      </text>
    </comment>
    <comment ref="W87" authorId="0" shapeId="0">
      <text>
        <r>
          <rPr>
            <sz val="9"/>
            <color indexed="81"/>
            <rFont val="Tahoma"/>
            <family val="2"/>
          </rPr>
          <t xml:space="preserve">Detalle del fertilizante u otro insumo que no sea semilla
</t>
        </r>
      </text>
    </comment>
    <comment ref="C88" authorId="0" shapeId="0">
      <text>
        <r>
          <rPr>
            <sz val="9"/>
            <color indexed="81"/>
            <rFont val="Tahoma"/>
            <family val="2"/>
          </rPr>
          <t xml:space="preserve">Unidades del insumo que se usaron en la implantación
</t>
        </r>
      </text>
    </comment>
    <comment ref="D88" authorId="0" shapeId="0">
      <text>
        <r>
          <rPr>
            <sz val="9"/>
            <color indexed="81"/>
            <rFont val="Tahoma"/>
            <family val="2"/>
          </rPr>
          <t xml:space="preserve">Unidad en que se compra y paga el fertilizante o insumo
</t>
        </r>
      </text>
    </comment>
    <comment ref="E88" authorId="0" shapeId="0">
      <text>
        <r>
          <rPr>
            <sz val="9"/>
            <color indexed="81"/>
            <rFont val="Tahoma"/>
            <family val="2"/>
          </rPr>
          <t xml:space="preserve">Precio por unidad del fertilizante o insumo
</t>
        </r>
      </text>
    </comment>
    <comment ref="X88" authorId="0" shapeId="0">
      <text>
        <r>
          <rPr>
            <sz val="9"/>
            <color indexed="81"/>
            <rFont val="Tahoma"/>
            <family val="2"/>
          </rPr>
          <t xml:space="preserve">Unidades del insumo que se usaron en la implantación
</t>
        </r>
      </text>
    </comment>
    <comment ref="Y88" authorId="0" shapeId="0">
      <text>
        <r>
          <rPr>
            <sz val="9"/>
            <color indexed="81"/>
            <rFont val="Tahoma"/>
            <family val="2"/>
          </rPr>
          <t xml:space="preserve">Unidad en que se compra y paga el fertilizante o insumo
</t>
        </r>
      </text>
    </comment>
    <comment ref="Z88" authorId="0" shapeId="0">
      <text>
        <r>
          <rPr>
            <sz val="9"/>
            <color indexed="81"/>
            <rFont val="Tahoma"/>
            <family val="2"/>
          </rPr>
          <t xml:space="preserve">Precio por unidad del fertilizante o insumo
</t>
        </r>
      </text>
    </comment>
    <comment ref="F94" authorId="0" shapeId="0">
      <text>
        <r>
          <rPr>
            <sz val="9"/>
            <color indexed="81"/>
            <rFont val="Tahoma"/>
            <family val="2"/>
          </rPr>
          <t xml:space="preserve">Años de vida útil estimada de la pastura (generalmente 4 o más)
</t>
        </r>
      </text>
    </comment>
    <comment ref="AA94" authorId="0" shapeId="0">
      <text>
        <r>
          <rPr>
            <sz val="9"/>
            <color indexed="81"/>
            <rFont val="Tahoma"/>
            <family val="2"/>
          </rPr>
          <t xml:space="preserve">Años de vida útil estimada de la pastura (generalmente 4 o más)
</t>
        </r>
      </text>
    </comment>
    <comment ref="B97" authorId="0" shapeId="0">
      <text>
        <r>
          <rPr>
            <sz val="8"/>
            <color indexed="81"/>
            <rFont val="Tahoma"/>
            <family val="2"/>
          </rPr>
          <t>Cargar el nombre de la pastura</t>
        </r>
      </text>
    </comment>
    <comment ref="F97" authorId="0" shapeId="0">
      <text>
        <r>
          <rPr>
            <sz val="9"/>
            <color indexed="81"/>
            <rFont val="Tahoma"/>
            <family val="2"/>
          </rPr>
          <t xml:space="preserve">Año de cierre de ejercicio de la implantación
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Detalle del laboreo realizado</t>
        </r>
      </text>
    </comment>
    <comment ref="C99" authorId="0" shapeId="0">
      <text>
        <r>
          <rPr>
            <sz val="9"/>
            <color indexed="81"/>
            <rFont val="Tahoma"/>
            <family val="2"/>
          </rPr>
          <t xml:space="preserve">Cantidad de unidades del laboreo realizado
</t>
        </r>
      </text>
    </comment>
    <comment ref="B104" authorId="0" shapeId="0">
      <text>
        <r>
          <rPr>
            <sz val="9"/>
            <color indexed="81"/>
            <rFont val="Tahoma"/>
            <family val="2"/>
          </rPr>
          <t xml:space="preserve">Detalle de semillas usadas en la pastura
</t>
        </r>
      </text>
    </comment>
    <comment ref="E105" authorId="0" shapeId="0">
      <text>
        <r>
          <rPr>
            <sz val="9"/>
            <color indexed="81"/>
            <rFont val="Tahoma"/>
            <family val="2"/>
          </rPr>
          <t xml:space="preserve">Precio por unidad
</t>
        </r>
      </text>
    </comment>
    <comment ref="B110" authorId="0" shapeId="0">
      <text>
        <r>
          <rPr>
            <sz val="9"/>
            <color indexed="81"/>
            <rFont val="Tahoma"/>
            <family val="2"/>
          </rPr>
          <t xml:space="preserve">Detalle del fertilizante u otro insumo que no sea semilla
</t>
        </r>
      </text>
    </comment>
    <comment ref="C111" authorId="0" shapeId="0">
      <text>
        <r>
          <rPr>
            <sz val="9"/>
            <color indexed="81"/>
            <rFont val="Tahoma"/>
            <family val="2"/>
          </rPr>
          <t xml:space="preserve">Unidades del insumo que se usaron en la implantación
</t>
        </r>
      </text>
    </comment>
    <comment ref="D111" authorId="0" shapeId="0">
      <text>
        <r>
          <rPr>
            <sz val="9"/>
            <color indexed="81"/>
            <rFont val="Tahoma"/>
            <family val="2"/>
          </rPr>
          <t xml:space="preserve">Unidad en que se compra y paga el fertilizante o insumo
</t>
        </r>
      </text>
    </comment>
    <comment ref="E111" authorId="0" shapeId="0">
      <text>
        <r>
          <rPr>
            <sz val="9"/>
            <color indexed="81"/>
            <rFont val="Tahoma"/>
            <family val="2"/>
          </rPr>
          <t xml:space="preserve">Precio por unidad del fertilizante o insumo
</t>
        </r>
      </text>
    </comment>
    <comment ref="F117" authorId="0" shapeId="0">
      <text>
        <r>
          <rPr>
            <sz val="9"/>
            <color indexed="81"/>
            <rFont val="Tahoma"/>
            <family val="2"/>
          </rPr>
          <t xml:space="preserve">Años de vida útil estimada de la pastura (generalmente 4 o más)
</t>
        </r>
      </text>
    </comment>
    <comment ref="B120" authorId="0" shapeId="0">
      <text>
        <r>
          <rPr>
            <sz val="8"/>
            <color indexed="81"/>
            <rFont val="Tahoma"/>
            <family val="2"/>
          </rPr>
          <t>Cargar el nombre de la pastura</t>
        </r>
      </text>
    </comment>
    <comment ref="F120" authorId="0" shapeId="0">
      <text>
        <r>
          <rPr>
            <sz val="9"/>
            <color indexed="81"/>
            <rFont val="Tahoma"/>
            <family val="2"/>
          </rPr>
          <t xml:space="preserve">Año de cierre de ejercicio de la implantación
</t>
        </r>
      </text>
    </comment>
    <comment ref="B121" authorId="0" shapeId="0">
      <text>
        <r>
          <rPr>
            <b/>
            <sz val="9"/>
            <color indexed="81"/>
            <rFont val="Tahoma"/>
            <family val="2"/>
          </rPr>
          <t>Detalle del laboreo realizado</t>
        </r>
      </text>
    </comment>
    <comment ref="C122" authorId="0" shapeId="0">
      <text>
        <r>
          <rPr>
            <sz val="9"/>
            <color indexed="81"/>
            <rFont val="Tahoma"/>
            <family val="2"/>
          </rPr>
          <t xml:space="preserve">Cantidad de unidades del laboreo realizado
</t>
        </r>
      </text>
    </comment>
    <comment ref="B127" authorId="0" shapeId="0">
      <text>
        <r>
          <rPr>
            <sz val="9"/>
            <color indexed="81"/>
            <rFont val="Tahoma"/>
            <family val="2"/>
          </rPr>
          <t xml:space="preserve">Detalle de semillas usadas en la pastura
</t>
        </r>
      </text>
    </comment>
    <comment ref="E128" authorId="0" shapeId="0">
      <text>
        <r>
          <rPr>
            <sz val="9"/>
            <color indexed="81"/>
            <rFont val="Tahoma"/>
            <family val="2"/>
          </rPr>
          <t xml:space="preserve">Precio por unidad
</t>
        </r>
      </text>
    </comment>
    <comment ref="B133" authorId="0" shapeId="0">
      <text>
        <r>
          <rPr>
            <sz val="9"/>
            <color indexed="81"/>
            <rFont val="Tahoma"/>
            <family val="2"/>
          </rPr>
          <t xml:space="preserve">Detalle del fertilizante u otro insumo que no sea semilla
</t>
        </r>
      </text>
    </comment>
    <comment ref="C134" authorId="0" shapeId="0">
      <text>
        <r>
          <rPr>
            <sz val="9"/>
            <color indexed="81"/>
            <rFont val="Tahoma"/>
            <family val="2"/>
          </rPr>
          <t xml:space="preserve">Unidades del insumo que se usaron en la implantación
</t>
        </r>
      </text>
    </comment>
    <comment ref="D134" authorId="0" shapeId="0">
      <text>
        <r>
          <rPr>
            <sz val="9"/>
            <color indexed="81"/>
            <rFont val="Tahoma"/>
            <family val="2"/>
          </rPr>
          <t xml:space="preserve">Unidad en que se compra y paga el fertilizante o insumo
</t>
        </r>
      </text>
    </comment>
    <comment ref="E134" authorId="0" shapeId="0">
      <text>
        <r>
          <rPr>
            <sz val="9"/>
            <color indexed="81"/>
            <rFont val="Tahoma"/>
            <family val="2"/>
          </rPr>
          <t xml:space="preserve">Precio por unidad del fertilizante o insumo
</t>
        </r>
      </text>
    </comment>
    <comment ref="F140" authorId="0" shapeId="0">
      <text>
        <r>
          <rPr>
            <sz val="9"/>
            <color indexed="81"/>
            <rFont val="Tahoma"/>
            <family val="2"/>
          </rPr>
          <t xml:space="preserve">Años de vida útil estimada de la pastura (generalmente 4 o más)
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A21" authorId="0" shapeId="0">
      <text>
        <r>
          <rPr>
            <sz val="9"/>
            <color indexed="81"/>
            <rFont val="Tahoma"/>
            <family val="2"/>
          </rPr>
          <t xml:space="preserve">Renglones reservados por si el productor quiere cargar algún gasto directo que no pueda contemplar en los conceptos previamente definidos
</t>
        </r>
      </text>
    </comment>
  </commentList>
</comments>
</file>

<file path=xl/comments4.xml><?xml version="1.0" encoding="utf-8"?>
<comments xmlns="http://schemas.openxmlformats.org/spreadsheetml/2006/main">
  <authors>
    <author>Windows User</author>
  </authors>
  <commentList>
    <comment ref="C36" authorId="0" shapeId="0">
      <text>
        <r>
          <rPr>
            <sz val="9"/>
            <color indexed="81"/>
            <rFont val="Tahoma"/>
            <family val="2"/>
          </rPr>
          <t xml:space="preserve">% de los retiros de los dueños o socios afectados a la actividad ovina
</t>
        </r>
      </text>
    </comment>
  </commentList>
</comments>
</file>

<file path=xl/sharedStrings.xml><?xml version="1.0" encoding="utf-8"?>
<sst xmlns="http://schemas.openxmlformats.org/spreadsheetml/2006/main" count="1444" uniqueCount="686">
  <si>
    <t>$</t>
  </si>
  <si>
    <t>Vacas</t>
  </si>
  <si>
    <t>Novillos</t>
  </si>
  <si>
    <t>Toros</t>
  </si>
  <si>
    <t>$/cab</t>
  </si>
  <si>
    <t>%</t>
  </si>
  <si>
    <t>DIF.INVENT</t>
  </si>
  <si>
    <t>KILOS</t>
  </si>
  <si>
    <t>Vaquillonas restantes</t>
  </si>
  <si>
    <t>Vaquillonas de 1 año</t>
  </si>
  <si>
    <t>Terneras destete</t>
  </si>
  <si>
    <t>Terneros destete</t>
  </si>
  <si>
    <t>Novillitos de 1 año</t>
  </si>
  <si>
    <t>INDICADORES</t>
  </si>
  <si>
    <t>Impuesto municipal</t>
  </si>
  <si>
    <t>Impuesto inmobiliario</t>
  </si>
  <si>
    <t>cab</t>
  </si>
  <si>
    <t>$/ha/año</t>
  </si>
  <si>
    <t>ENTRADAS = COMPRAS + INGRESOS POR TRASLADOS</t>
  </si>
  <si>
    <t>FECHA</t>
  </si>
  <si>
    <t>EJERCICIO</t>
  </si>
  <si>
    <t>U$S/ha</t>
  </si>
  <si>
    <t>Valor Hectárea propia</t>
  </si>
  <si>
    <t>Propias</t>
  </si>
  <si>
    <t>Tomadas en arrendamiento</t>
  </si>
  <si>
    <t>Cedidas</t>
  </si>
  <si>
    <t>HAS</t>
  </si>
  <si>
    <t>CARGA DE DATOS AL SISTEMA</t>
  </si>
  <si>
    <t>Cab</t>
  </si>
  <si>
    <t>EV</t>
  </si>
  <si>
    <t>Kg</t>
  </si>
  <si>
    <t>EFICIENCIA STOCK</t>
  </si>
  <si>
    <t>% DESTETE</t>
  </si>
  <si>
    <t>Campo Natural</t>
  </si>
  <si>
    <t>Pasturas existentes</t>
  </si>
  <si>
    <t>Verdeos verano</t>
  </si>
  <si>
    <t>Desperdicios</t>
  </si>
  <si>
    <t>CATEGORIA</t>
  </si>
  <si>
    <t xml:space="preserve"> EXISTENCIA INICIAL</t>
  </si>
  <si>
    <t xml:space="preserve">$ total </t>
  </si>
  <si>
    <t xml:space="preserve"> EV INICIO</t>
  </si>
  <si>
    <t>EXISTENCIA FINAL</t>
  </si>
  <si>
    <t>$ total</t>
  </si>
  <si>
    <t>DIFERENCIA DE INVENTARIO</t>
  </si>
  <si>
    <t>EV FINAL</t>
  </si>
  <si>
    <t>CAB</t>
  </si>
  <si>
    <t>EV TOTAL</t>
  </si>
  <si>
    <t>TOTAL</t>
  </si>
  <si>
    <t>BALANCE CABEZAS</t>
  </si>
  <si>
    <t>Total KILOS</t>
  </si>
  <si>
    <t>$/KG</t>
  </si>
  <si>
    <t>KG/CABEZA</t>
  </si>
  <si>
    <t>DESTINO</t>
  </si>
  <si>
    <t>CABEZAS</t>
  </si>
  <si>
    <t xml:space="preserve">KG/CABEZA </t>
  </si>
  <si>
    <t>SALIDAS = VENTAS+CONSUMO+SALIDAS POR TRASLADOS</t>
  </si>
  <si>
    <t>MACHOS</t>
  </si>
  <si>
    <t>HEMBRAS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</si>
  <si>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</si>
  <si>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</si>
  <si>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</si>
  <si>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</si>
  <si>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</si>
  <si>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</si>
  <si>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</si>
  <si>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</si>
  <si>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</si>
  <si>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</si>
  <si>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</si>
  <si>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</si>
  <si>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NACIMIENTOS</t>
  </si>
  <si>
    <t>MUERTES</t>
  </si>
  <si>
    <t>Superficie total</t>
  </si>
  <si>
    <t>Has efectivas</t>
  </si>
  <si>
    <t>Costo arrendamiento</t>
  </si>
  <si>
    <t>Total de hectáreas</t>
  </si>
  <si>
    <t>Superficie Agrícola</t>
  </si>
  <si>
    <t>BALANCE SUPERFICIES</t>
  </si>
  <si>
    <t>TOTAL DE HECTAREAS</t>
  </si>
  <si>
    <t>PRODUCCION</t>
  </si>
  <si>
    <t>SALIDAS HACIENDA</t>
  </si>
  <si>
    <t>ENTRADAS HACIENDA</t>
  </si>
  <si>
    <t>PRODUCCION DE CARNE EN EL EJERCICIO</t>
  </si>
  <si>
    <t>UNIDAD</t>
  </si>
  <si>
    <t>CARGA MEDIA</t>
  </si>
  <si>
    <t>TOTALES</t>
  </si>
  <si>
    <t>PRODUCCION CARNE</t>
  </si>
  <si>
    <t>Novillitos de 2 año</t>
  </si>
  <si>
    <t>Vaquillonas para servicio</t>
  </si>
  <si>
    <t>PROCEDENCIA</t>
  </si>
  <si>
    <t>TERNEROS DESTETADOS</t>
  </si>
  <si>
    <t>Kg/Kg</t>
  </si>
  <si>
    <t>Pasturas implant.en ejerc</t>
  </si>
  <si>
    <t>KG TOTALES</t>
  </si>
  <si>
    <t>TERNEROS DESTETADOS EN EL EJERCICIO</t>
  </si>
  <si>
    <t>% PREÑEZ</t>
  </si>
  <si>
    <t>EV/CAB</t>
  </si>
  <si>
    <t>Rastrojo agricultura</t>
  </si>
  <si>
    <t>Potreros para OVINOS</t>
  </si>
  <si>
    <t>verdeos invierno</t>
  </si>
  <si>
    <t>POTREROS GANADERIA VACUNA</t>
  </si>
  <si>
    <t>Potreros para AGRICULTURA</t>
  </si>
  <si>
    <t>Potreros para EQUINOS</t>
  </si>
  <si>
    <t>Potr.compartidos c/OVINOS</t>
  </si>
  <si>
    <t>Ovinos</t>
  </si>
  <si>
    <t>Equinos</t>
  </si>
  <si>
    <t>Vq REPOSICIÓN (vq / vacas servidas)</t>
  </si>
  <si>
    <t>Terneras REPOSICIÓN (tnra repos / vacas servidas</t>
  </si>
  <si>
    <t>MANO DE OBRA</t>
  </si>
  <si>
    <t>Contratada fija</t>
  </si>
  <si>
    <t>Productor y familia</t>
  </si>
  <si>
    <t xml:space="preserve"> ----</t>
  </si>
  <si>
    <t>Contratada eventual</t>
  </si>
  <si>
    <t>Terneras al pie</t>
  </si>
  <si>
    <t>Terneros al pie</t>
  </si>
  <si>
    <t>Categoria</t>
  </si>
  <si>
    <t>Diferencia</t>
  </si>
  <si>
    <t>Variación inventario</t>
  </si>
  <si>
    <t>Nacimientos</t>
  </si>
  <si>
    <t>Ventas - Compras</t>
  </si>
  <si>
    <t>Muertes</t>
  </si>
  <si>
    <t>Nombre establecimiento</t>
  </si>
  <si>
    <t>Nro de Vacas Rodeo general que inician el servicio</t>
  </si>
  <si>
    <t>Nro de Vaquillonas de 1er servicio que inician el Servicio</t>
  </si>
  <si>
    <t>Nro de Vaquillonas de 2er servicio que inician el Servicio</t>
  </si>
  <si>
    <t>Vacas rodeo general retiradas del servicio</t>
  </si>
  <si>
    <t>Nro de Vaquillonas de 1er servicio retiradas del Servicio</t>
  </si>
  <si>
    <t>Nro de Vaquillonas de 2er servicio retiradas del Servicio</t>
  </si>
  <si>
    <t>Fecha de Fin de Servicio</t>
  </si>
  <si>
    <t>Fecha de Tacto</t>
  </si>
  <si>
    <t>Nro de Vacas rodeo general preñadas</t>
  </si>
  <si>
    <t>Nro de Vaquillonas de 1er servicio preñadas</t>
  </si>
  <si>
    <t>Nro de Vaquillonas de 2er servicio preñadas</t>
  </si>
  <si>
    <t>Total de Vacas preñadas</t>
  </si>
  <si>
    <t>% de preñez Vacas rodeo general</t>
  </si>
  <si>
    <t>% de preñez de Vaquillonas 1er Servicio</t>
  </si>
  <si>
    <t>% de preñez de vaquillonas 2do Servcicio</t>
  </si>
  <si>
    <t>% de preñez General</t>
  </si>
  <si>
    <t>Fecha De inicio de Paricion</t>
  </si>
  <si>
    <t>Nro de Terneros Nacidos Vivos VRG</t>
  </si>
  <si>
    <t>Nro de Terneros Nacidos Vivos V 1er S</t>
  </si>
  <si>
    <t>Nro de Terneros Nacidos Vivos V 2do  S</t>
  </si>
  <si>
    <t>Total de Terneros nacidos Vivos</t>
  </si>
  <si>
    <t>% de Paricion VRG</t>
  </si>
  <si>
    <t>% de Paricion V 1er S</t>
  </si>
  <si>
    <t>% de Paricion V 2do S</t>
  </si>
  <si>
    <t>% Paricion total</t>
  </si>
  <si>
    <t>Fecha de Inicio de Destete</t>
  </si>
  <si>
    <t>Fecha de Fin de Destete</t>
  </si>
  <si>
    <t>Nro de Terneros VRG Destetados</t>
  </si>
  <si>
    <t>Nro de Terneros V 1er S Destetados</t>
  </si>
  <si>
    <t>Nro de Ternerod V 2do S Destetatos</t>
  </si>
  <si>
    <t>Total de Terneros Destetados</t>
  </si>
  <si>
    <t>% de Destete VRG</t>
  </si>
  <si>
    <t>% de Destete V 1er S</t>
  </si>
  <si>
    <t>% de Destete V 2do S</t>
  </si>
  <si>
    <t>% de Destete Total</t>
  </si>
  <si>
    <t>Porcentaje de preñez</t>
  </si>
  <si>
    <t>Porcentaje destete</t>
  </si>
  <si>
    <t>PLANILLA DE PROCREO EN CURSO</t>
  </si>
  <si>
    <t>PLANILLA DE PROCREO AÑO ANTERIOR</t>
  </si>
  <si>
    <t>Ciudad / Provincia</t>
  </si>
  <si>
    <t>Caprinos</t>
  </si>
  <si>
    <t>Categorias</t>
  </si>
  <si>
    <t>Ventas</t>
  </si>
  <si>
    <t>Consumo</t>
  </si>
  <si>
    <t>Traslado</t>
  </si>
  <si>
    <t>Salida</t>
  </si>
  <si>
    <t>Compras</t>
  </si>
  <si>
    <t>Entradas</t>
  </si>
  <si>
    <t>Total</t>
  </si>
  <si>
    <t>Causa</t>
  </si>
  <si>
    <t>Porcentaje de mortandad</t>
  </si>
  <si>
    <t>cantidad</t>
  </si>
  <si>
    <t xml:space="preserve">Nro de Vaquillonas de 1er servicio </t>
  </si>
  <si>
    <t>Nro de Vaquillonas de 2er servicio</t>
  </si>
  <si>
    <t>Total de Vientres que terminan el servico</t>
  </si>
  <si>
    <t>Total de Vientres que inician el servico</t>
  </si>
  <si>
    <t>TERNERAS PARA REPOSICION</t>
  </si>
  <si>
    <t>Reposición</t>
  </si>
  <si>
    <t>VIENTRE PREÑADOS EL AÑO ANTERIOR</t>
  </si>
  <si>
    <t>VIENTRES ENTORADAS EL AÑO ANTERIOR</t>
  </si>
  <si>
    <t>Total de vientres preñados</t>
  </si>
  <si>
    <t>Vacas detetadas</t>
  </si>
  <si>
    <t>MERMA Señal-Marcación (S-M)</t>
  </si>
  <si>
    <t>MERMA Tacto- Señal (T-S)</t>
  </si>
  <si>
    <t>Porcentaje de Parición</t>
  </si>
  <si>
    <t>Total de vacas paridas</t>
  </si>
  <si>
    <t>TERNEROS NACIDOS</t>
  </si>
  <si>
    <t>MERMA TOTAL</t>
  </si>
  <si>
    <t>PROCREO ACTUAL</t>
  </si>
  <si>
    <t>PROCREO EJERCICIO ANTERIOR</t>
  </si>
  <si>
    <t>Total vientres tactados</t>
  </si>
  <si>
    <t>Has</t>
  </si>
  <si>
    <t xml:space="preserve">Superficies  </t>
  </si>
  <si>
    <t>Fecha de inicio de servicio</t>
  </si>
  <si>
    <t>Vacas rodeo general  que terminan el servicio el servicio</t>
  </si>
  <si>
    <t>VIENTRES QUE TERMINAN SERVICIO</t>
  </si>
  <si>
    <t>% PARICIÓN</t>
  </si>
  <si>
    <t>Cantidad</t>
  </si>
  <si>
    <t>|</t>
  </si>
  <si>
    <t>SUPERFICIE  DE EXPLOTACIÓN</t>
  </si>
  <si>
    <t>Items</t>
  </si>
  <si>
    <t>Jornales/mes</t>
  </si>
  <si>
    <t>Jornales/año</t>
  </si>
  <si>
    <t>INVENTARIOS DE HACIENDA</t>
  </si>
  <si>
    <t>MESES</t>
  </si>
  <si>
    <t>MERMA</t>
  </si>
  <si>
    <t xml:space="preserve">TOTAL </t>
  </si>
  <si>
    <t>SEXO</t>
  </si>
  <si>
    <t>MACHO</t>
  </si>
  <si>
    <t>MES GESTACION</t>
  </si>
  <si>
    <t>MES LACTANCIA</t>
  </si>
  <si>
    <t>hembra invernada</t>
  </si>
  <si>
    <t>hembra cría</t>
  </si>
  <si>
    <t>macho</t>
  </si>
  <si>
    <t>HEMBRA INV</t>
  </si>
  <si>
    <t>HEMBRA CRIA</t>
  </si>
  <si>
    <t>CALCULO PARA INICIO</t>
  </si>
  <si>
    <t>CALCULO PARA CIERRE</t>
  </si>
  <si>
    <t>Ganadería vacuna</t>
  </si>
  <si>
    <t>VALIDO PARA INICIO Y CIERRE</t>
  </si>
  <si>
    <t>ADPV gr/día</t>
  </si>
  <si>
    <t>Varias</t>
  </si>
  <si>
    <t>VENTAS</t>
  </si>
  <si>
    <t>Saldo para Reposic.</t>
  </si>
  <si>
    <t>% ocupacion anual</t>
  </si>
  <si>
    <t>Del total de hectáreas, indique</t>
  </si>
  <si>
    <t>Por Ha Ganadera</t>
  </si>
  <si>
    <t>Por Vaca vientre</t>
  </si>
  <si>
    <t>Superficie ganadera (has)</t>
  </si>
  <si>
    <t>Vacas vientre promedio año (cab)</t>
  </si>
  <si>
    <t>VIENTRES PREÑADOS</t>
  </si>
  <si>
    <t>Peso Medio de Existencia (PME)</t>
  </si>
  <si>
    <t>kg/cab</t>
  </si>
  <si>
    <t>kg/cab/día</t>
  </si>
  <si>
    <t>Ganancia diaria de Peso Vivo</t>
  </si>
  <si>
    <t>PASTURAS</t>
  </si>
  <si>
    <t>Laboreos y aplicaciones</t>
  </si>
  <si>
    <t>Semillas</t>
  </si>
  <si>
    <t>TOTAL COSTO IMPLANTACION</t>
  </si>
  <si>
    <t>AÑOS DE VIDA UTIL</t>
  </si>
  <si>
    <t>$ / año</t>
  </si>
  <si>
    <t>Jul</t>
  </si>
  <si>
    <t>Ago</t>
  </si>
  <si>
    <t>Oct</t>
  </si>
  <si>
    <t>Nov</t>
  </si>
  <si>
    <t>Dic</t>
  </si>
  <si>
    <t>Ene</t>
  </si>
  <si>
    <t>Feb</t>
  </si>
  <si>
    <t xml:space="preserve">Mar </t>
  </si>
  <si>
    <t>Abr</t>
  </si>
  <si>
    <t>May</t>
  </si>
  <si>
    <t>Jun</t>
  </si>
  <si>
    <t>Sueldos Netos personal actividad CRIA</t>
  </si>
  <si>
    <t>Sueldos Netos personal estructura y administración</t>
  </si>
  <si>
    <t>MANO DE OBRA PROPIA</t>
  </si>
  <si>
    <t>NO</t>
  </si>
  <si>
    <t>SI</t>
  </si>
  <si>
    <t>GASTOS DIRECTOS</t>
  </si>
  <si>
    <t>Rubro</t>
  </si>
  <si>
    <t>% afectación a CRIA</t>
  </si>
  <si>
    <t>Alimentación</t>
  </si>
  <si>
    <t xml:space="preserve">Suplementación </t>
  </si>
  <si>
    <t>Mantenimiento pasturas</t>
  </si>
  <si>
    <t>Insumos sanidad</t>
  </si>
  <si>
    <t>Sanidad</t>
  </si>
  <si>
    <t>Honorarios sanidad</t>
  </si>
  <si>
    <t>Honorarios veterinarios</t>
  </si>
  <si>
    <t>Honorarios agronómicos</t>
  </si>
  <si>
    <t>Otros gastos directos</t>
  </si>
  <si>
    <t>Premios al personal</t>
  </si>
  <si>
    <t>Mano obra propia</t>
  </si>
  <si>
    <t xml:space="preserve">SEGUROS </t>
  </si>
  <si>
    <t>HONORARIOS CONTADOR</t>
  </si>
  <si>
    <t>GASTOS DE OFICINA</t>
  </si>
  <si>
    <t>ENERGIA ELECTRICA</t>
  </si>
  <si>
    <t>GAS</t>
  </si>
  <si>
    <t>Sub-total sin arrendamiento</t>
  </si>
  <si>
    <t>ARRENDAMIENTOS PAGADOS</t>
  </si>
  <si>
    <t xml:space="preserve">IMPUESTOS Y TASAS </t>
  </si>
  <si>
    <t>TASA RED VIAL</t>
  </si>
  <si>
    <t>OTROS IMPUESTOS Y TASAS</t>
  </si>
  <si>
    <t>TOTAL IMPUESTOS Y TASAS</t>
  </si>
  <si>
    <t>INTERESES Y COMISIONES POR PRESTAMOS</t>
  </si>
  <si>
    <t>TOTAL INTERESES</t>
  </si>
  <si>
    <t>RETIROS / DIVIDENDOS</t>
  </si>
  <si>
    <t>TOTAL RETIROS</t>
  </si>
  <si>
    <t>RESULTADO OPERATIVO sin arrendamiento</t>
  </si>
  <si>
    <t>RESULTADO OPERATIVO</t>
  </si>
  <si>
    <t>RESULTADO POR PRODUCCION</t>
  </si>
  <si>
    <t>UTILIDAD NETA</t>
  </si>
  <si>
    <t>SALDO PARA CRECER</t>
  </si>
  <si>
    <t>Ventas hacienda</t>
  </si>
  <si>
    <t>Compras hacienda</t>
  </si>
  <si>
    <t>Diferencia inventario hacienda</t>
  </si>
  <si>
    <t>Valor producción carne</t>
  </si>
  <si>
    <t>MARGEN BRUTO</t>
  </si>
  <si>
    <t>CAPITAL</t>
  </si>
  <si>
    <t>RENTABILIDAD</t>
  </si>
  <si>
    <t>Cotización Dólar al inicio del ejercicio</t>
  </si>
  <si>
    <t>$/U$S</t>
  </si>
  <si>
    <t>Rye grass</t>
  </si>
  <si>
    <t>Festuca</t>
  </si>
  <si>
    <t>Lotus</t>
  </si>
  <si>
    <t>PASTURA BASE FESTUCA</t>
  </si>
  <si>
    <t>unidad</t>
  </si>
  <si>
    <t>Manga</t>
  </si>
  <si>
    <t>Camioneta</t>
  </si>
  <si>
    <t xml:space="preserve">Casa </t>
  </si>
  <si>
    <t xml:space="preserve">Galpón </t>
  </si>
  <si>
    <t>Tinglado</t>
  </si>
  <si>
    <t>Parabólico y contrapiso a 20 cm.</t>
  </si>
  <si>
    <t>Corral</t>
  </si>
  <si>
    <t>2000 m2</t>
  </si>
  <si>
    <t>simple con postes de ñandubay p/4 vacas</t>
  </si>
  <si>
    <t>Molino</t>
  </si>
  <si>
    <t>de 8 pies. pozo a 44 m. profundidad.</t>
  </si>
  <si>
    <t>Tanque australiano de material</t>
  </si>
  <si>
    <t>pared de 30 cm. 18 metros cubicos</t>
  </si>
  <si>
    <t>Bebederos de material</t>
  </si>
  <si>
    <t>0.65*2.5m</t>
  </si>
  <si>
    <t>Alambrado perimetral propio</t>
  </si>
  <si>
    <t>postes de ñandubay, varillas y 6 hilos</t>
  </si>
  <si>
    <t>Alambrado interno</t>
  </si>
  <si>
    <t>postes de ñandubay, varillas y 4 hilos</t>
  </si>
  <si>
    <t>Portones de hierro</t>
  </si>
  <si>
    <t>entrada y casco, hierro construccion</t>
  </si>
  <si>
    <t>Portones de madera</t>
  </si>
  <si>
    <t>de 4 mts</t>
  </si>
  <si>
    <t>(Moneda de calculo = pesos)</t>
  </si>
  <si>
    <t>VALOR A NUEVO</t>
  </si>
  <si>
    <t xml:space="preserve">CAPITAL FUNDIARIO </t>
  </si>
  <si>
    <t>Descripción</t>
  </si>
  <si>
    <t>Cant</t>
  </si>
  <si>
    <t xml:space="preserve">Unidad </t>
  </si>
  <si>
    <t>Vida util</t>
  </si>
  <si>
    <t>Valor unitario</t>
  </si>
  <si>
    <t>Valor total</t>
  </si>
  <si>
    <t>Cuota Amortizacion</t>
  </si>
  <si>
    <t xml:space="preserve">Tierra                  </t>
  </si>
  <si>
    <t>has</t>
  </si>
  <si>
    <t>Aguadas (tajamar)</t>
  </si>
  <si>
    <t>Fondo barroso, agua mediana calidad</t>
  </si>
  <si>
    <t>Desmonte</t>
  </si>
  <si>
    <t>Luz rural</t>
  </si>
  <si>
    <t>Tendido de 500 m; de cooperativa 220 vots</t>
  </si>
  <si>
    <t>Camino mejorado</t>
  </si>
  <si>
    <t>500 mts</t>
  </si>
  <si>
    <t>MEJORAS ORDINARIAS</t>
  </si>
  <si>
    <t>m2</t>
  </si>
  <si>
    <t xml:space="preserve">unidad </t>
  </si>
  <si>
    <t>Praderas existentes a comienzo del ejercicio</t>
  </si>
  <si>
    <t>Praderas nuevas: sembradas en el presente ejercicio</t>
  </si>
  <si>
    <t>Pradera nueva</t>
  </si>
  <si>
    <t>Yomel</t>
  </si>
  <si>
    <t>Enrolladora</t>
  </si>
  <si>
    <t>Valor residual pasivo (en % del valor a nuevo)</t>
  </si>
  <si>
    <t>maquinaria</t>
  </si>
  <si>
    <t>mejoras</t>
  </si>
  <si>
    <t>% CRIA</t>
  </si>
  <si>
    <t>PASTURAS SEMBRADAS EN EL EJERCICIO</t>
  </si>
  <si>
    <t>Alfalfa</t>
  </si>
  <si>
    <t>Fosfato Monoamónico</t>
  </si>
  <si>
    <t>total maquinaria</t>
  </si>
  <si>
    <t>PASTURAS EXISTENTES</t>
  </si>
  <si>
    <t>CAPITAL FUNDIARIO</t>
  </si>
  <si>
    <t>MAQUINARIA</t>
  </si>
  <si>
    <t>ANIMALES</t>
  </si>
  <si>
    <t>VALOR COMIENZO EJERCICIO</t>
  </si>
  <si>
    <t>AMORTIZACION</t>
  </si>
  <si>
    <t>Valor Comienzo Ejercicio</t>
  </si>
  <si>
    <t>Valor Residual Pasivo</t>
  </si>
  <si>
    <t>14 has</t>
  </si>
  <si>
    <t>Gastos Directos</t>
  </si>
  <si>
    <t>pasadas /ha</t>
  </si>
  <si>
    <t>Precio unitario</t>
  </si>
  <si>
    <t>Agroquímicos</t>
  </si>
  <si>
    <t>$/unidad</t>
  </si>
  <si>
    <t>unidades/ha</t>
  </si>
  <si>
    <t>kg</t>
  </si>
  <si>
    <t>Valor UTA</t>
  </si>
  <si>
    <t>UTA/labor</t>
  </si>
  <si>
    <t>PASTURA BASE Alfalfa</t>
  </si>
  <si>
    <t>Cebadilla</t>
  </si>
  <si>
    <t>VERDEOS SEMBRADOS EN EL EJERCICIO</t>
  </si>
  <si>
    <t>AVENA</t>
  </si>
  <si>
    <t>Avena</t>
  </si>
  <si>
    <t>RYE GRASS</t>
  </si>
  <si>
    <t>MOHA</t>
  </si>
  <si>
    <t>MANTENIMIENTO PASTURAS</t>
  </si>
  <si>
    <t>TOTAL COSTO MANTENIMIENTO</t>
  </si>
  <si>
    <t>PASTURAS EN GENERAL</t>
  </si>
  <si>
    <t>Maíz</t>
  </si>
  <si>
    <t>Cargas sociales</t>
  </si>
  <si>
    <t>RESUMEN DE GASTOS DIRECTOS</t>
  </si>
  <si>
    <t>Verdeos</t>
  </si>
  <si>
    <t>INDICADOR</t>
  </si>
  <si>
    <t>INVERSIONES EN EL EJERCICIO</t>
  </si>
  <si>
    <t>Rentabilidad sobre Activo Inicial (sin tierra)</t>
  </si>
  <si>
    <t>Rentabilidad sobre Activo Inicial (con tierra)</t>
  </si>
  <si>
    <t>PASTURA BASE Cebadilla</t>
  </si>
  <si>
    <t>Pastura costo</t>
  </si>
  <si>
    <t>m</t>
  </si>
  <si>
    <r>
      <t>m</t>
    </r>
    <r>
      <rPr>
        <vertAlign val="superscript"/>
        <sz val="11"/>
        <color theme="1"/>
        <rFont val="Arial Narrow"/>
        <family val="2"/>
      </rPr>
      <t>2</t>
    </r>
  </si>
  <si>
    <t>Desmalezadora</t>
  </si>
  <si>
    <t>Acoplado forrajero</t>
  </si>
  <si>
    <t>Pulverización terrestre</t>
  </si>
  <si>
    <t>Siembra grano fino</t>
  </si>
  <si>
    <t>Desmalezada</t>
  </si>
  <si>
    <t>Disco doble</t>
  </si>
  <si>
    <t>Fertilización</t>
  </si>
  <si>
    <t>UTA ($/unidad de laboreo)</t>
  </si>
  <si>
    <t>empleado A</t>
  </si>
  <si>
    <t>empleado B</t>
  </si>
  <si>
    <t>empleado C</t>
  </si>
  <si>
    <t>$/ha</t>
  </si>
  <si>
    <t>$/año</t>
  </si>
  <si>
    <t>Las pasturas no se cargan, viene de la hoja forrajes</t>
  </si>
  <si>
    <t>NOTAS PARA LA CARGA</t>
  </si>
  <si>
    <t>CIRCULANTE</t>
  </si>
  <si>
    <t>La vida útil se debe cargar, los valores se pueden consultar en la hoja ANEXO</t>
  </si>
  <si>
    <t>Las amortizaciones surgen por fórmulas, no deben cargarse</t>
  </si>
  <si>
    <t>IPIM 2020-21</t>
  </si>
  <si>
    <t>coef 2020-21</t>
  </si>
  <si>
    <t>empleado D</t>
  </si>
  <si>
    <t>Sueldos netos (de bolsillo) personal actividad CRIA</t>
  </si>
  <si>
    <t>Sueldos netos (de bolsillo) personal estructura y administración</t>
  </si>
  <si>
    <t>MANO DE OBRA CONTRATADA</t>
  </si>
  <si>
    <t>Sep</t>
  </si>
  <si>
    <t>Concentrado proteico</t>
  </si>
  <si>
    <t>Cantidad anual</t>
  </si>
  <si>
    <t>Sueldos MdO contratada</t>
  </si>
  <si>
    <t>MdO propia</t>
  </si>
  <si>
    <t>TOTAL MdO</t>
  </si>
  <si>
    <t>Mano de obra contratada</t>
  </si>
  <si>
    <t>Personal</t>
  </si>
  <si>
    <t>----</t>
  </si>
  <si>
    <t>Honorarios asesoramiento</t>
  </si>
  <si>
    <t>otros</t>
  </si>
  <si>
    <t>TELEFONO / INTERNET</t>
  </si>
  <si>
    <t>MANO DE OBRA PROPIA (no posee cargas sociales)</t>
  </si>
  <si>
    <t>GASTOS BANCARIOS (sólo comisiones)</t>
  </si>
  <si>
    <t>MANTENIMIENTO DE INSTALACIONES</t>
  </si>
  <si>
    <t>CARGAS SOCIALES ESTRUCTURA Y ADMINISTRACIÓN</t>
  </si>
  <si>
    <t>MOVILIDAD (combustibles, peajes, otros)</t>
  </si>
  <si>
    <t>Banco A</t>
  </si>
  <si>
    <t>IMPUESTO INMOBILIARIO</t>
  </si>
  <si>
    <t>IMPUESTO AUTOMOTOR</t>
  </si>
  <si>
    <t>Socio 1</t>
  </si>
  <si>
    <t>Socio 2</t>
  </si>
  <si>
    <t>Socio 3</t>
  </si>
  <si>
    <t>Banco B</t>
  </si>
  <si>
    <t xml:space="preserve">GASTOS ESTRUCTURA Y ADMINISTRACIÓN </t>
  </si>
  <si>
    <t>TOTAL CON ARRENDAMIENTO</t>
  </si>
  <si>
    <t>$/vientre</t>
  </si>
  <si>
    <r>
      <t xml:space="preserve">INVENTARIO DE INICIO - </t>
    </r>
    <r>
      <rPr>
        <b/>
        <sz val="11"/>
        <color rgb="FFFF0000"/>
        <rFont val="Arial Narrow"/>
        <family val="2"/>
      </rPr>
      <t>1/7</t>
    </r>
  </si>
  <si>
    <r>
      <t xml:space="preserve">INVENTARIO DE CIERRE - </t>
    </r>
    <r>
      <rPr>
        <b/>
        <sz val="11"/>
        <color rgb="FFFF0000"/>
        <rFont val="Arial Narrow"/>
        <family val="2"/>
      </rPr>
      <t>30/6</t>
    </r>
  </si>
  <si>
    <r>
      <t xml:space="preserve">Impuestos y Tasas </t>
    </r>
    <r>
      <rPr>
        <sz val="8"/>
        <rFont val="Arial Narrow"/>
        <family val="2"/>
      </rPr>
      <t>(excepto Impuesto a las Ganancias)</t>
    </r>
  </si>
  <si>
    <t>Gastos Estructura y Administración</t>
  </si>
  <si>
    <t>Arrendamientos</t>
  </si>
  <si>
    <t>Amortizaciones</t>
  </si>
  <si>
    <t>Gastos Bancarios (pago intereses préstamos)</t>
  </si>
  <si>
    <t>Retiros de socios</t>
  </si>
  <si>
    <t>Pasturas nuevas ($)</t>
  </si>
  <si>
    <t>Activo sin tierra ($)</t>
  </si>
  <si>
    <t>Valor tierra ($)</t>
  </si>
  <si>
    <t>Activo con tierra ($)</t>
  </si>
  <si>
    <t>SUPLEMENTACIÓN</t>
  </si>
  <si>
    <t>% afectación a la CRIA</t>
  </si>
  <si>
    <t>Rollos de alfalfa</t>
  </si>
  <si>
    <t>Sueldos netos personal actividad CRIA</t>
  </si>
  <si>
    <t>Sueldos netos personal estructura y administración</t>
  </si>
  <si>
    <t>(incluye aportes y contribuciones totales incluida la ART)</t>
  </si>
  <si>
    <t xml:space="preserve"> Si se disponen los valores mensuales en pesos corrientes cargarlos en el mes que corresponden.</t>
  </si>
  <si>
    <t xml:space="preserve"> Se deben cargar sueldos netos de cargas sociales no importa cuando se hayan pagado efectivamente</t>
  </si>
  <si>
    <t xml:space="preserve"> Si se pagan jornales sumar todos los jornales del mes y cargarlos en el mes correspondiente o los anuales y cargarlos en el mes de cierre</t>
  </si>
  <si>
    <t xml:space="preserve"> En la MdO propia dedicada a la cría se debe cargar el sueldo del productor, socio o familiar</t>
  </si>
  <si>
    <t xml:space="preserve"> En la MdO propia dedicada a estructura se debe cargar el sueldo del propio productor o socio, afectado o dedicado a la empresa en general o la administración de la empresa</t>
  </si>
  <si>
    <t>% Cargas Sociales</t>
  </si>
  <si>
    <t xml:space="preserve"> El precio del suplemento que se cargará es el correspondiente al mes de cierre del ejercicio</t>
  </si>
  <si>
    <r>
      <t xml:space="preserve"> </t>
    </r>
    <r>
      <rPr>
        <sz val="11"/>
        <rFont val="Arial"/>
        <family val="2"/>
      </rPr>
      <t>Si no se dispone del detalle mes a mes cargar un único valor anual en la casilla anaranjada (mes de cierre del ejercicio)</t>
    </r>
  </si>
  <si>
    <r>
      <t xml:space="preserve"> En los </t>
    </r>
    <r>
      <rPr>
        <b/>
        <sz val="11"/>
        <rFont val="Arial"/>
        <family val="2"/>
      </rPr>
      <t>gastos de suplementació</t>
    </r>
    <r>
      <rPr>
        <sz val="11"/>
        <rFont val="Arial"/>
        <family val="2"/>
      </rPr>
      <t>n cargar la cantidad anual de cada recurso forrajero especificando las unidades (sumando las cantidades parciales si hubiera)</t>
    </r>
  </si>
  <si>
    <t xml:space="preserve"> En los porcentajes de afectación cargar el que corresponda a la actividad cría (máximo 100%)</t>
  </si>
  <si>
    <r>
      <t xml:space="preserve"> En </t>
    </r>
    <r>
      <rPr>
        <b/>
        <sz val="11"/>
        <rFont val="Arial"/>
        <family val="2"/>
      </rPr>
      <t xml:space="preserve">gastos de estructura e impuestos </t>
    </r>
    <r>
      <rPr>
        <sz val="11"/>
        <rFont val="Arial"/>
        <family val="2"/>
      </rPr>
      <t>si se disponen los valores mensuales en pesos corrientes cargarlos en el mes que corresponden.</t>
    </r>
  </si>
  <si>
    <r>
      <t xml:space="preserve"> En </t>
    </r>
    <r>
      <rPr>
        <b/>
        <sz val="11"/>
        <rFont val="Arial"/>
        <family val="2"/>
      </rPr>
      <t>Intereses y Comisiones</t>
    </r>
    <r>
      <rPr>
        <sz val="11"/>
        <rFont val="Arial"/>
        <family val="2"/>
      </rPr>
      <t xml:space="preserve"> se cargan solo los que correspondan a préstamos imputables al ejercicio (se hayan pagado o no). No los pagos del monto del préstamo</t>
    </r>
  </si>
  <si>
    <t>NOTAS</t>
  </si>
  <si>
    <t>En caso que en el establecimiento haya otras actividades aparte de la ganadería, los resultados y utilidad serán de la sub-empresa ganadera</t>
  </si>
  <si>
    <t>En caso de bienes "viejos", cuya antigüedad es mayor que la vida util estimada, no ponerlos en el inventario</t>
  </si>
  <si>
    <t>El % asignado a la cría será 100% si la empresa es exclusivamente ganadera</t>
  </si>
  <si>
    <t>En los casos que, además de ganadería, realizan agricultura (o bien otra actividad ganadera, ej; ovinos) se debe consignar una estimación de la afectación del bien a la ganadería</t>
  </si>
  <si>
    <t>a) detallando cada una de las labores, semillas y agroquímicos utilizados</t>
  </si>
  <si>
    <t>b) cargando directamente el costo total de la implantación en $/unidad (en cualquier renglón) y poniendo 1 en unidades/ha</t>
  </si>
  <si>
    <t>El costo de la pastura o verdeo se debe expresar en $/ha y puede cargarse de dos maneras:</t>
  </si>
  <si>
    <t>Siempre se consideran valores a nuevo a fecha de cierre del ejercicio, por mas que sean pasturas de varios años</t>
  </si>
  <si>
    <t>Una pastura cuya antigüedad es mayor a 5 años se considera que ya está amortizada y no debe incluirse en la carga.</t>
  </si>
  <si>
    <t>El mantenimiento de pasturas y campo natural se refiere a labores (desmalezadas por ej.), re-fertilizaciones, etc</t>
  </si>
  <si>
    <t>Pasturas</t>
  </si>
  <si>
    <t>Cargar el costo de los verdeos pastoreados durante el ejercicio, aunque se hayan sembrado en el ejercicio anterior</t>
  </si>
  <si>
    <t>Ejercicio 19-20</t>
  </si>
  <si>
    <t>Ejercicio 20-21</t>
  </si>
  <si>
    <t>Ejercicio 21-22</t>
  </si>
  <si>
    <t>Siembra 40 has de avena</t>
  </si>
  <si>
    <t>Siembra 20 has de avena</t>
  </si>
  <si>
    <t>Pastoreo 40 has avena</t>
  </si>
  <si>
    <t>Ejemplo: carga del ejercicio 2020-2021</t>
  </si>
  <si>
    <t>MANTENIMIENTO CAMPO NATURAL</t>
  </si>
  <si>
    <t>CAMPO NATURAL</t>
  </si>
  <si>
    <t>Mantenimiento campo natural</t>
  </si>
  <si>
    <t>VIDA UTIL (años)</t>
  </si>
  <si>
    <t>Alambrados y corrales de postes de quebracho</t>
  </si>
  <si>
    <t>Alambrados y corrales de postes de acacia madera similar</t>
  </si>
  <si>
    <t>Alambrados y corrales de postes de madera blanda (impregnados)</t>
  </si>
  <si>
    <t>Molinos, malacates, norias</t>
  </si>
  <si>
    <t>Tanques australianos de material</t>
  </si>
  <si>
    <t>Tanques australianos de chapa (según calidad del agua)</t>
  </si>
  <si>
    <t>Bebederos de chapa o madera (según calidad del agua)</t>
  </si>
  <si>
    <t>Bombas</t>
  </si>
  <si>
    <t>Casas de material</t>
  </si>
  <si>
    <t>Casas de madera</t>
  </si>
  <si>
    <t>Casas de adobe</t>
  </si>
  <si>
    <t>Casas de chorizo de paja (o similar)</t>
  </si>
  <si>
    <t>Galpones, tinglados (chapa)</t>
  </si>
  <si>
    <t>Silos de material o placas de cemento</t>
  </si>
  <si>
    <t>Silos de chapa</t>
  </si>
  <si>
    <t>Instalaciones para hacienda (bretes, baños, balanza, etc.)</t>
  </si>
  <si>
    <t>Tanque subterráneo para combustible</t>
  </si>
  <si>
    <t>Invernáculos</t>
  </si>
  <si>
    <t>(años)</t>
  </si>
  <si>
    <t>Motor diesel</t>
  </si>
  <si>
    <t>Motor nafta</t>
  </si>
  <si>
    <t>Motor eléctrico</t>
  </si>
  <si>
    <t>Tractor (rodado neumático)</t>
  </si>
  <si>
    <t>Tractor oruga</t>
  </si>
  <si>
    <t>Arado de rejas de arrastre</t>
  </si>
  <si>
    <t>Arado de rejas montado</t>
  </si>
  <si>
    <t>Arado de discos de arrastre</t>
  </si>
  <si>
    <t>Arado-rastra</t>
  </si>
  <si>
    <t>Subsolador de arrastre</t>
  </si>
  <si>
    <t>Subsolador montado</t>
  </si>
  <si>
    <t>Cincel (escarificador) de arrastre [2]</t>
  </si>
  <si>
    <t>Cincel (escarificador) montado [3]</t>
  </si>
  <si>
    <t>Cultivador de campo</t>
  </si>
  <si>
    <t>Vibrocultivador</t>
  </si>
  <si>
    <t>Cultivador sub-superficial (pie de pato)</t>
  </si>
  <si>
    <t>Fresadora de arrastre (rotovator)</t>
  </si>
  <si>
    <t>Fresadora con motor</t>
  </si>
  <si>
    <t>Rastra de discos de doble acción</t>
  </si>
  <si>
    <t>Rastra de discos excéntrica o pesada [4]</t>
  </si>
  <si>
    <t>Rastra de dientes</t>
  </si>
  <si>
    <t>Rastra rotativa (de eje horizontal)</t>
  </si>
  <si>
    <t>Rodillo (rolo) desterronador o acanalado</t>
  </si>
  <si>
    <t>Sembradora para granos finos</t>
  </si>
  <si>
    <t>Sembradora para granos gruesos</t>
  </si>
  <si>
    <t>Sembradora de precisión (neumática)</t>
  </si>
  <si>
    <t>Sembradora de siembra directa</t>
  </si>
  <si>
    <t>Plantadora de papas</t>
  </si>
  <si>
    <t>Plantadora forestal</t>
  </si>
  <si>
    <t>Escardillo o aporcador (carpidor)</t>
  </si>
  <si>
    <t>Fertilizadora centrífuga</t>
  </si>
  <si>
    <t>Fertilizadora pendular</t>
  </si>
  <si>
    <t>Pulverizadora de barra, de arrastre</t>
  </si>
  <si>
    <t>Pulverizadora de barra, automotriz</t>
  </si>
  <si>
    <t>Demalezadora de eje horizontal</t>
  </si>
  <si>
    <t>Demalezadora de eje vertical</t>
  </si>
  <si>
    <t>Cortadora-hileradora rotativa</t>
  </si>
  <si>
    <t>Rastrillo de descarga lateral</t>
  </si>
  <si>
    <t>Enfardadora convencional [6]</t>
  </si>
  <si>
    <t>Enfardadora arrolladora (enrrolladora) [6]</t>
  </si>
  <si>
    <t>Corta-picadora con acoplado independiente</t>
  </si>
  <si>
    <t>Corta-picadora integral de arrastre</t>
  </si>
  <si>
    <t>Embolsadora de forraje para toma de potencia [7]</t>
  </si>
  <si>
    <t>Embolsadora de forraje con motor [7]</t>
  </si>
  <si>
    <t>Cosechadora automotriz para granos finos [8]</t>
  </si>
  <si>
    <t>Cosechadora automotriz axial para granos finos [8]</t>
  </si>
  <si>
    <t>Cosechadora automotriz para arroz</t>
  </si>
  <si>
    <t>Cosechadora automotriz para maíz</t>
  </si>
  <si>
    <t>Sacadora de papas de disco</t>
  </si>
  <si>
    <t>Recolectora automotriz de algodón</t>
  </si>
  <si>
    <t>Cosechadora de caña de azúcar</t>
  </si>
  <si>
    <t>Elevador de cangilones (`noria')</t>
  </si>
  <si>
    <t>Sinfin para granos (`chimango')</t>
  </si>
  <si>
    <t>Transportador neumático para granos</t>
  </si>
  <si>
    <t>Cinta transportadora de granos</t>
  </si>
  <si>
    <t>Secadora de granos fija [9]</t>
  </si>
  <si>
    <t>Limpiadora o zarandeadora (`chamiquera')</t>
  </si>
  <si>
    <t>Moledora de granos de discos</t>
  </si>
  <si>
    <t>Moledora de granos de martillos</t>
  </si>
  <si>
    <t>Hoyadora montada sobre tractor</t>
  </si>
  <si>
    <t>Motosierra portátil (motor 5 - 10 CV)</t>
  </si>
  <si>
    <t>Cargador de rollizos</t>
  </si>
  <si>
    <t>Arrastrador de troncos</t>
  </si>
  <si>
    <t>Topadora</t>
  </si>
  <si>
    <t>Moledora-mezcladora de forraje</t>
  </si>
  <si>
    <t>Esquiladora</t>
  </si>
  <si>
    <t>Prensa hidráulica para lana [10]</t>
  </si>
  <si>
    <t>Ordeñadora [11]</t>
  </si>
  <si>
    <t>Bomba de émbolos (motobombeador)</t>
  </si>
  <si>
    <t>Bomba centrífuga de eje horizontal [12]</t>
  </si>
  <si>
    <t>Bomba centrífuga de eje vertical [12]</t>
  </si>
  <si>
    <t>Pick-up motor diesel (hasta 1 t de carga) [13]</t>
  </si>
  <si>
    <t>Pick-up motor nafta (hasta 1 t de carga) [13]</t>
  </si>
  <si>
    <t>Camión con motor diesel (`chasis')</t>
  </si>
  <si>
    <t>Acoplado para camión</t>
  </si>
  <si>
    <t>Acoplado rural, vagón, carrito</t>
  </si>
  <si>
    <t>Acoplado distribuidor de ración</t>
  </si>
  <si>
    <t>Acoplado tanque (de 1 ó 2 ejes)</t>
  </si>
  <si>
    <t>Cargador frontal montado sobre tractor</t>
  </si>
  <si>
    <t>TABLA DE VIDA UTIL BIENES DURABLES</t>
  </si>
  <si>
    <r>
      <t>Automóvil mediano (motor 1000-2000 cm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</si>
  <si>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Automóvil grande (motor 2000-4000 cm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</si>
  <si>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cargar</t>
  </si>
  <si>
    <t>En hoja Datos</t>
  </si>
  <si>
    <t>En esta hoja</t>
  </si>
  <si>
    <t>Las pasturas implantadas en el ejercicio deben cargarse, aunque no se hayan pastoreado durante el mismo.</t>
  </si>
  <si>
    <t>Pastoreo 20 has avena</t>
  </si>
  <si>
    <t>puede ser diferente</t>
  </si>
  <si>
    <r>
      <t xml:space="preserve"> En </t>
    </r>
    <r>
      <rPr>
        <b/>
        <sz val="11"/>
        <color theme="1"/>
        <rFont val="Arial"/>
        <family val="2"/>
      </rPr>
      <t>Movilidad</t>
    </r>
    <r>
      <rPr>
        <sz val="11"/>
        <color theme="1"/>
        <rFont val="Arial"/>
        <family val="2"/>
      </rPr>
      <t xml:space="preserve"> considerar si el vehículo se utiliza para uso particular además de estar afectado a la producción</t>
    </r>
  </si>
  <si>
    <t>CUENTA CAPITAL</t>
  </si>
  <si>
    <t>Vida util (años)</t>
  </si>
  <si>
    <t>CAPITAL MAQUINARIA</t>
  </si>
  <si>
    <t>% cría</t>
  </si>
  <si>
    <t>Siembra grano grueso</t>
  </si>
  <si>
    <t>Cincel 1º pasada</t>
  </si>
  <si>
    <t>Cincel 2º pasada</t>
  </si>
  <si>
    <t>Excéntrica</t>
  </si>
  <si>
    <t>Rolo</t>
  </si>
  <si>
    <t>Siembra directa grano fino</t>
  </si>
  <si>
    <t>Siembra directa grano grueso</t>
  </si>
  <si>
    <t xml:space="preserve"> has implantadas</t>
  </si>
  <si>
    <t xml:space="preserve"> Año de alta</t>
  </si>
  <si>
    <t xml:space="preserve"> número de has </t>
  </si>
  <si>
    <t>litros</t>
  </si>
  <si>
    <t>Glifosato</t>
  </si>
  <si>
    <t>2,4 DB</t>
  </si>
  <si>
    <t>Año de alta</t>
  </si>
  <si>
    <t>Glofosato</t>
  </si>
  <si>
    <t>Rye Grass anual</t>
  </si>
  <si>
    <t>Moha</t>
  </si>
  <si>
    <t>Total costo implantación verdeos</t>
  </si>
  <si>
    <t>Tractor</t>
  </si>
  <si>
    <t>John Deere 92 CV</t>
  </si>
  <si>
    <t>Sembradora</t>
  </si>
  <si>
    <t>Semeato SD</t>
  </si>
  <si>
    <t>Ford Ranger 2012</t>
  </si>
  <si>
    <t>Mainero</t>
  </si>
  <si>
    <t>Distribuidor de rollos</t>
  </si>
  <si>
    <t>PASTURA BASE ALFALFA</t>
  </si>
  <si>
    <t>PASTURA BASE AGROPIRO</t>
  </si>
  <si>
    <t>Agropiro</t>
  </si>
  <si>
    <t>Mejoras</t>
  </si>
  <si>
    <t>Aguadas</t>
  </si>
  <si>
    <t>Construcciones</t>
  </si>
  <si>
    <t>Maquinaria</t>
  </si>
  <si>
    <t>Las celdas grises son listas desplegables</t>
  </si>
  <si>
    <t>Cargar todos los valores unitarios a valor a nuevo actual (cotizaciones a cierre del ejercicio a julio) sin IVA</t>
  </si>
  <si>
    <r>
      <t xml:space="preserve"> En </t>
    </r>
    <r>
      <rPr>
        <b/>
        <sz val="11"/>
        <rFont val="Arial"/>
        <family val="2"/>
      </rPr>
      <t>gastos directos</t>
    </r>
    <r>
      <rPr>
        <sz val="11"/>
        <rFont val="Arial"/>
        <family val="2"/>
      </rPr>
      <t xml:space="preserve"> si se disponen los valores mensuales en pesos corrientes cargarlos en el mes que corresponden. Siempre sin IVA</t>
    </r>
  </si>
  <si>
    <t>RESULTADOS  ECONÓMICOS  DE  LA  EMPRESA</t>
  </si>
  <si>
    <t>"Amortización" pasturas</t>
  </si>
  <si>
    <t>CARGAR TODO LOS VALORES EN $ SIN IVA</t>
  </si>
  <si>
    <t>NO. En control de gestión no se consideran costos de oportunidad. Pero, luego, al planificar sí, deberían considerarse</t>
  </si>
  <si>
    <t>NO. Deben cargarse sin IVA</t>
  </si>
  <si>
    <t xml:space="preserve">5) Se computan los ingresos de dinero por préstamos? </t>
  </si>
  <si>
    <t>6 ) Y pago de capital de préstamo?</t>
  </si>
  <si>
    <t>DUDA</t>
  </si>
  <si>
    <t>RESPUESTA</t>
  </si>
  <si>
    <t>Se imputa en el mes que se hizo la operación (criterio de devengado)</t>
  </si>
  <si>
    <t>Valor FIN Ejercicio</t>
  </si>
  <si>
    <t>7) Se pueden insertar filas</t>
  </si>
  <si>
    <t>NO. No es conveniente insertar ni filas ni columnas</t>
  </si>
  <si>
    <t>8) y si tengo que cargar mas datos, por ejemplo, si implanté 5 verdeos cómo se carga? (que hay espacio solo para 4).</t>
  </si>
  <si>
    <t>Conviene juntar gastos de 2 o mas verdeos en una sola carga, porque lo que importante es contabilizar el costo total en verdeos</t>
  </si>
  <si>
    <t>Tomar los precios al mes de cierre del ejercicio, es decir, julio</t>
  </si>
  <si>
    <t>1) Qué precios se utilizan para la carga de inventarios de bienes y hacienda</t>
  </si>
  <si>
    <t>2) los precios cargados son con IVA?</t>
  </si>
  <si>
    <t xml:space="preserve">4) Si se compra algo un mes y se paga 30 días despues, donde se computa? </t>
  </si>
  <si>
    <t xml:space="preserve">9) Se consideran en los gastos los insumos comprados y no utilizados? </t>
  </si>
  <si>
    <t xml:space="preserve">empleado B    </t>
  </si>
  <si>
    <t>SUELDOS ESTRUCTURA Y ADMINISTRACIÓN</t>
  </si>
  <si>
    <r>
      <t xml:space="preserve"> El </t>
    </r>
    <r>
      <rPr>
        <b/>
        <sz val="11"/>
        <rFont val="Arial"/>
        <family val="2"/>
      </rPr>
      <t>IBP</t>
    </r>
    <r>
      <rPr>
        <sz val="11"/>
        <color theme="1"/>
        <rFont val="Arial"/>
        <family val="2"/>
      </rPr>
      <t xml:space="preserve"> implica un costo que llega a 1,25%, aunque en las empresas unipersonales la tierra rural queda exenta.  Si fueran sociedades que desarrollan la actividad ganadera, el porcentual seria del 0,5% sobre todo el patrimonio incluido las parcelas.</t>
    </r>
  </si>
  <si>
    <t>IMPUESTO A LOS BIENES PERSONALES</t>
  </si>
  <si>
    <t>No está contemplado el pago del Impuesto a las Ganancias que dependerá del tipo de figura jurídica bajo la cual se encuentre inscripto el establecimiento</t>
  </si>
  <si>
    <t>3) no consideramos intereses ni costos de oportunidad? Solo los de préstamos bancarios?</t>
  </si>
  <si>
    <t>MANTENIMIENTO DE VEHICULOS y MAQUINARIAS</t>
  </si>
  <si>
    <t>fff4000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</si>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</sst>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0_ ;[Red]\-0.00\ "/>
    <numFmt numFmtId="167" formatCode="0.0%"/>
    <numFmt numFmtId="168" formatCode="_-* #,##0.000_-;\-* #,##0.000_-;_-* &quot;-&quot;??_-;_-@_-"/>
    <numFmt numFmtId="169" formatCode="_-* #,##0.0000_-;\-* #,##0.0000_-;_-* &quot;-&quot;??_-;_-@_-"/>
    <numFmt numFmtId="170" formatCode="0.000"/>
    <numFmt numFmtId="171" formatCode="&quot;$&quot;\ #,##0.00"/>
    <numFmt numFmtId="172" formatCode="_ * #,##0_ ;_ * \-#,##0_ ;_ * &quot;-&quot;??_ ;_ @_ "/>
    <numFmt numFmtId="173" formatCode="[$$-2C0A]\ #,##0.00"/>
    <numFmt numFmtId="174" formatCode="_-* #,##0.0_-;\-* #,##0.0_-;_-* &quot;-&quot;??_-;_-@_-"/>
    <numFmt numFmtId="175" formatCode="#,##0_ ;\-#,##0\ "/>
    <numFmt numFmtId="176" formatCode="#,##0.00_ ;\-#,##0.00\ 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sz val="11"/>
      <name val="Arial Narrow"/>
      <family val="2"/>
    </font>
    <font>
      <b/>
      <sz val="9"/>
      <color rgb="FFC00000"/>
      <name val="Arial Narrow"/>
      <family val="2"/>
    </font>
    <font>
      <b/>
      <sz val="11"/>
      <color theme="0"/>
      <name val="Arial Narrow"/>
      <family val="2"/>
    </font>
    <font>
      <b/>
      <sz val="12"/>
      <color rgb="FF00B0F0"/>
      <name val="Arial Narrow"/>
      <family val="2"/>
    </font>
    <font>
      <b/>
      <sz val="9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color rgb="FFC00000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indexed="10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0"/>
      <name val="Arial Narrow"/>
      <family val="2"/>
    </font>
    <font>
      <vertAlign val="superscript"/>
      <sz val="11"/>
      <color theme="1"/>
      <name val="Arial Narrow"/>
      <family val="2"/>
    </font>
    <font>
      <b/>
      <sz val="14"/>
      <color rgb="FF0070C0"/>
      <name val="Arial Narrow"/>
      <family val="2"/>
    </font>
    <font>
      <b/>
      <sz val="16"/>
      <color theme="0"/>
      <name val="Arial Narrow"/>
      <family val="2"/>
    </font>
    <font>
      <b/>
      <sz val="10"/>
      <name val="Arial Narrow"/>
      <family val="2"/>
    </font>
    <font>
      <b/>
      <sz val="16"/>
      <color rgb="FFFFC000"/>
      <name val="Arial Narrow"/>
      <family val="2"/>
    </font>
    <font>
      <b/>
      <sz val="16"/>
      <color rgb="FFFFFF00"/>
      <name val="Arial Narrow"/>
      <family val="2"/>
    </font>
    <font>
      <b/>
      <sz val="11"/>
      <color indexed="8"/>
      <name val="Arial Narrow"/>
      <family val="2"/>
    </font>
    <font>
      <b/>
      <sz val="12"/>
      <color theme="0"/>
      <name val="Arial Narrow"/>
      <family val="2"/>
    </font>
    <font>
      <sz val="11"/>
      <color indexed="8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 Narrow"/>
      <family val="2"/>
    </font>
    <font>
      <b/>
      <u/>
      <sz val="12"/>
      <color rgb="FF0070C0"/>
      <name val="Arial Narrow"/>
      <family val="2"/>
    </font>
    <font>
      <b/>
      <sz val="18"/>
      <color theme="0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b/>
      <sz val="11"/>
      <color rgb="FFFF0000"/>
      <name val="Arial Narrow"/>
      <family val="2"/>
    </font>
    <font>
      <sz val="11"/>
      <color theme="0"/>
      <name val="Arial Narrow"/>
      <family val="2"/>
    </font>
    <font>
      <sz val="11"/>
      <color rgb="FF00000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 Narrow"/>
      <family val="2"/>
    </font>
    <font>
      <b/>
      <u/>
      <sz val="12"/>
      <color rgb="FF0070C0"/>
      <name val="Arial"/>
      <family val="2"/>
    </font>
    <font>
      <sz val="11"/>
      <name val="Arial"/>
      <family val="2"/>
      <charset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name val="Arial Narrow"/>
      <family val="2"/>
    </font>
    <font>
      <b/>
      <sz val="14"/>
      <color theme="1"/>
      <name val="Arial Narrow"/>
      <family val="2"/>
    </font>
    <font>
      <b/>
      <sz val="12"/>
      <color rgb="FF0070C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rgb="FFC00000"/>
      <name val="Arial Narrow"/>
      <family val="2"/>
    </font>
    <font>
      <b/>
      <sz val="12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b/>
      <u/>
      <sz val="14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6795556505021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9">
    <xf numFmtId="0" fontId="0" fillId="0" borderId="0" xfId="0"/>
    <xf numFmtId="0" fontId="8" fillId="3" borderId="35" xfId="0" applyFont="1" applyFill="1" applyBorder="1" applyAlignment="1" applyProtection="1">
      <alignment horizontal="left" vertical="center"/>
      <protection locked="0"/>
    </xf>
    <xf numFmtId="164" fontId="15" fillId="6" borderId="30" xfId="1" applyNumberFormat="1" applyFont="1" applyFill="1" applyBorder="1" applyAlignment="1" applyProtection="1">
      <alignment horizontal="right" vertical="center"/>
      <protection hidden="1"/>
    </xf>
    <xf numFmtId="164" fontId="16" fillId="5" borderId="47" xfId="1" applyNumberFormat="1" applyFont="1" applyFill="1" applyBorder="1" applyAlignment="1" applyProtection="1">
      <alignment horizontal="left" vertical="center"/>
      <protection locked="0"/>
    </xf>
    <xf numFmtId="164" fontId="15" fillId="5" borderId="47" xfId="1" applyNumberFormat="1" applyFont="1" applyFill="1" applyBorder="1" applyAlignment="1" applyProtection="1">
      <alignment horizontal="right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164" fontId="8" fillId="21" borderId="13" xfId="1" applyNumberFormat="1" applyFont="1" applyFill="1" applyBorder="1" applyAlignment="1" applyProtection="1">
      <alignment horizontal="right" vertical="center"/>
      <protection hidden="1"/>
    </xf>
    <xf numFmtId="164" fontId="11" fillId="5" borderId="47" xfId="1" applyNumberFormat="1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vertical="center"/>
    </xf>
    <xf numFmtId="172" fontId="15" fillId="0" borderId="0" xfId="1" applyNumberFormat="1" applyFont="1" applyAlignment="1">
      <alignment vertical="center"/>
    </xf>
    <xf numFmtId="164" fontId="15" fillId="6" borderId="13" xfId="1" applyNumberFormat="1" applyFont="1" applyFill="1" applyBorder="1" applyAlignment="1" applyProtection="1">
      <alignment horizontal="right" vertical="center"/>
      <protection hidden="1"/>
    </xf>
    <xf numFmtId="164" fontId="22" fillId="0" borderId="13" xfId="1" applyNumberFormat="1" applyFont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72" fontId="28" fillId="2" borderId="26" xfId="1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164" fontId="15" fillId="6" borderId="10" xfId="1" applyNumberFormat="1" applyFont="1" applyFill="1" applyBorder="1" applyAlignment="1" applyProtection="1">
      <alignment horizontal="right" vertical="center"/>
      <protection hidden="1"/>
    </xf>
    <xf numFmtId="0" fontId="15" fillId="0" borderId="27" xfId="0" applyFont="1" applyBorder="1" applyAlignment="1">
      <alignment horizontal="left" vertical="center"/>
    </xf>
    <xf numFmtId="0" fontId="15" fillId="0" borderId="28" xfId="0" applyFont="1" applyBorder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71" fontId="15" fillId="0" borderId="0" xfId="0" applyNumberFormat="1" applyFont="1" applyAlignment="1">
      <alignment vertical="center"/>
    </xf>
    <xf numFmtId="0" fontId="14" fillId="0" borderId="27" xfId="0" applyFont="1" applyBorder="1" applyAlignment="1">
      <alignment horizontal="left" vertical="center"/>
    </xf>
    <xf numFmtId="4" fontId="36" fillId="31" borderId="0" xfId="0" applyNumberFormat="1" applyFont="1" applyFill="1" applyAlignment="1" applyProtection="1">
      <alignment horizontal="right" vertical="center" indent="1"/>
      <protection locked="0"/>
    </xf>
    <xf numFmtId="0" fontId="37" fillId="0" borderId="0" xfId="0" applyFont="1" applyAlignment="1">
      <alignment vertical="center"/>
    </xf>
    <xf numFmtId="0" fontId="8" fillId="3" borderId="40" xfId="0" applyFont="1" applyFill="1" applyBorder="1" applyAlignment="1" applyProtection="1">
      <alignment horizontal="center" vertical="center"/>
      <protection locked="0"/>
    </xf>
    <xf numFmtId="164" fontId="15" fillId="6" borderId="69" xfId="1" applyNumberFormat="1" applyFont="1" applyFill="1" applyBorder="1" applyAlignment="1" applyProtection="1">
      <alignment horizontal="right" vertical="center"/>
      <protection hidden="1"/>
    </xf>
    <xf numFmtId="0" fontId="8" fillId="3" borderId="54" xfId="0" applyFont="1" applyFill="1" applyBorder="1" applyAlignment="1" applyProtection="1">
      <alignment horizontal="center" vertical="center"/>
      <protection locked="0"/>
    </xf>
    <xf numFmtId="164" fontId="15" fillId="6" borderId="38" xfId="1" applyNumberFormat="1" applyFont="1" applyFill="1" applyBorder="1" applyAlignment="1" applyProtection="1">
      <alignment horizontal="right" vertical="center"/>
      <protection hidden="1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164" fontId="15" fillId="5" borderId="16" xfId="1" applyNumberFormat="1" applyFont="1" applyFill="1" applyBorder="1" applyAlignment="1" applyProtection="1">
      <alignment horizontal="left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164" fontId="15" fillId="6" borderId="39" xfId="1" applyNumberFormat="1" applyFont="1" applyFill="1" applyBorder="1" applyAlignment="1" applyProtection="1">
      <alignment horizontal="right" vertical="center"/>
      <protection hidden="1"/>
    </xf>
    <xf numFmtId="0" fontId="0" fillId="0" borderId="0" xfId="0" applyFont="1"/>
    <xf numFmtId="164" fontId="15" fillId="2" borderId="10" xfId="1" applyNumberFormat="1" applyFont="1" applyFill="1" applyBorder="1" applyAlignment="1" applyProtection="1">
      <alignment horizontal="right" vertical="center"/>
      <protection locked="0"/>
    </xf>
    <xf numFmtId="164" fontId="15" fillId="33" borderId="25" xfId="1" applyNumberFormat="1" applyFont="1" applyFill="1" applyBorder="1" applyAlignment="1" applyProtection="1">
      <alignment horizontal="right" vertical="center"/>
      <protection locked="0"/>
    </xf>
    <xf numFmtId="0" fontId="18" fillId="2" borderId="10" xfId="0" applyFont="1" applyFill="1" applyBorder="1" applyAlignment="1" applyProtection="1">
      <alignment horizontal="right" vertical="center"/>
      <protection locked="0"/>
    </xf>
    <xf numFmtId="0" fontId="18" fillId="33" borderId="25" xfId="0" applyFont="1" applyFill="1" applyBorder="1" applyAlignment="1" applyProtection="1">
      <alignment horizontal="right" vertical="center"/>
      <protection locked="0"/>
    </xf>
    <xf numFmtId="164" fontId="15" fillId="2" borderId="32" xfId="1" applyNumberFormat="1" applyFont="1" applyFill="1" applyBorder="1" applyAlignment="1" applyProtection="1">
      <alignment horizontal="right" vertical="center"/>
      <protection locked="0"/>
    </xf>
    <xf numFmtId="164" fontId="15" fillId="33" borderId="26" xfId="1" applyNumberFormat="1" applyFont="1" applyFill="1" applyBorder="1" applyAlignment="1" applyProtection="1">
      <alignment horizontal="right" vertical="center"/>
      <protection locked="0"/>
    </xf>
    <xf numFmtId="164" fontId="15" fillId="2" borderId="0" xfId="1" applyNumberFormat="1" applyFont="1" applyFill="1" applyBorder="1" applyAlignment="1" applyProtection="1">
      <alignment horizontal="center" vertical="center"/>
      <protection locked="0"/>
    </xf>
    <xf numFmtId="0" fontId="15" fillId="2" borderId="0" xfId="1" applyNumberFormat="1" applyFont="1" applyFill="1" applyBorder="1" applyAlignment="1" applyProtection="1">
      <alignment horizontal="center" vertical="center"/>
      <protection locked="0"/>
    </xf>
    <xf numFmtId="164" fontId="15" fillId="2" borderId="10" xfId="1" applyNumberFormat="1" applyFont="1" applyFill="1" applyBorder="1" applyAlignment="1" applyProtection="1">
      <alignment horizontal="left" vertical="center"/>
      <protection locked="0"/>
    </xf>
    <xf numFmtId="164" fontId="15" fillId="2" borderId="10" xfId="1" applyNumberFormat="1" applyFont="1" applyFill="1" applyBorder="1" applyAlignment="1" applyProtection="1">
      <alignment horizontal="center" vertical="center"/>
      <protection locked="0"/>
    </xf>
    <xf numFmtId="164" fontId="11" fillId="6" borderId="66" xfId="1" applyNumberFormat="1" applyFont="1" applyFill="1" applyBorder="1" applyAlignment="1" applyProtection="1">
      <alignment horizontal="center" vertical="center" wrapText="1"/>
      <protection hidden="1"/>
    </xf>
    <xf numFmtId="164" fontId="15" fillId="6" borderId="7" xfId="1" applyNumberFormat="1" applyFont="1" applyFill="1" applyBorder="1" applyAlignment="1" applyProtection="1">
      <alignment horizontal="right" vertical="center"/>
      <protection hidden="1"/>
    </xf>
    <xf numFmtId="164" fontId="11" fillId="6" borderId="15" xfId="1" applyNumberFormat="1" applyFont="1" applyFill="1" applyBorder="1" applyAlignment="1" applyProtection="1">
      <alignment horizontal="center" vertical="center" wrapText="1"/>
      <protection hidden="1"/>
    </xf>
    <xf numFmtId="9" fontId="11" fillId="6" borderId="5" xfId="1" applyNumberFormat="1" applyFont="1" applyFill="1" applyBorder="1" applyAlignment="1" applyProtection="1">
      <alignment horizontal="center" vertical="center" wrapText="1"/>
      <protection hidden="1"/>
    </xf>
    <xf numFmtId="164" fontId="20" fillId="6" borderId="62" xfId="1" applyNumberFormat="1" applyFont="1" applyFill="1" applyBorder="1" applyAlignment="1" applyProtection="1">
      <alignment horizontal="center" vertical="center" wrapText="1"/>
      <protection hidden="1"/>
    </xf>
    <xf numFmtId="164" fontId="18" fillId="6" borderId="38" xfId="1" applyNumberFormat="1" applyFont="1" applyFill="1" applyBorder="1" applyAlignment="1" applyProtection="1">
      <alignment horizontal="right" vertical="center"/>
      <protection hidden="1"/>
    </xf>
    <xf numFmtId="164" fontId="18" fillId="6" borderId="39" xfId="1" applyNumberFormat="1" applyFont="1" applyFill="1" applyBorder="1" applyAlignment="1" applyProtection="1">
      <alignment horizontal="right" vertical="center"/>
      <protection hidden="1"/>
    </xf>
    <xf numFmtId="164" fontId="18" fillId="6" borderId="42" xfId="1" applyNumberFormat="1" applyFont="1" applyFill="1" applyBorder="1" applyAlignment="1" applyProtection="1">
      <alignment horizontal="right" vertical="center"/>
      <protection hidden="1"/>
    </xf>
    <xf numFmtId="164" fontId="18" fillId="6" borderId="43" xfId="1" applyNumberFormat="1" applyFont="1" applyFill="1" applyBorder="1" applyAlignment="1" applyProtection="1">
      <alignment horizontal="right" vertical="center"/>
      <protection hidden="1"/>
    </xf>
    <xf numFmtId="0" fontId="8" fillId="3" borderId="9" xfId="0" applyFont="1" applyFill="1" applyBorder="1" applyAlignment="1" applyProtection="1">
      <alignment horizontal="left" vertical="center"/>
      <protection locked="0"/>
    </xf>
    <xf numFmtId="9" fontId="15" fillId="5" borderId="10" xfId="2" applyFont="1" applyFill="1" applyBorder="1" applyAlignment="1" applyProtection="1">
      <alignment horizontal="center" vertical="center"/>
      <protection locked="0"/>
    </xf>
    <xf numFmtId="0" fontId="8" fillId="3" borderId="41" xfId="0" applyFont="1" applyFill="1" applyBorder="1" applyAlignment="1" applyProtection="1">
      <alignment horizontal="left" vertical="center"/>
      <protection locked="0"/>
    </xf>
    <xf numFmtId="164" fontId="15" fillId="6" borderId="32" xfId="1" applyNumberFormat="1" applyFont="1" applyFill="1" applyBorder="1" applyAlignment="1" applyProtection="1">
      <alignment horizontal="right" vertical="center"/>
      <protection hidden="1"/>
    </xf>
    <xf numFmtId="9" fontId="15" fillId="5" borderId="32" xfId="2" applyFont="1" applyFill="1" applyBorder="1" applyAlignment="1" applyProtection="1">
      <alignment horizontal="center" vertical="center"/>
      <protection locked="0"/>
    </xf>
    <xf numFmtId="0" fontId="8" fillId="3" borderId="65" xfId="0" applyFont="1" applyFill="1" applyBorder="1" applyAlignment="1" applyProtection="1">
      <alignment horizontal="left" vertical="center"/>
      <protection locked="0"/>
    </xf>
    <xf numFmtId="164" fontId="15" fillId="6" borderId="66" xfId="1" applyNumberFormat="1" applyFont="1" applyFill="1" applyBorder="1" applyAlignment="1" applyProtection="1">
      <alignment horizontal="right" vertical="center"/>
      <protection hidden="1"/>
    </xf>
    <xf numFmtId="9" fontId="15" fillId="5" borderId="16" xfId="2" applyFont="1" applyFill="1" applyBorder="1" applyAlignment="1" applyProtection="1">
      <alignment horizontal="center" vertical="center"/>
      <protection locked="0"/>
    </xf>
    <xf numFmtId="164" fontId="15" fillId="33" borderId="10" xfId="1" applyNumberFormat="1" applyFont="1" applyFill="1" applyBorder="1" applyAlignment="1" applyProtection="1">
      <alignment horizontal="center" vertical="center"/>
      <protection locked="0"/>
    </xf>
    <xf numFmtId="164" fontId="15" fillId="6" borderId="62" xfId="1" applyNumberFormat="1" applyFont="1" applyFill="1" applyBorder="1" applyAlignment="1" applyProtection="1">
      <alignment horizontal="right" vertical="center"/>
      <protection hidden="1"/>
    </xf>
    <xf numFmtId="164" fontId="15" fillId="6" borderId="25" xfId="1" applyNumberFormat="1" applyFont="1" applyFill="1" applyBorder="1" applyAlignment="1" applyProtection="1">
      <alignment horizontal="right" vertical="center"/>
      <protection hidden="1"/>
    </xf>
    <xf numFmtId="164" fontId="15" fillId="33" borderId="25" xfId="1" applyNumberFormat="1" applyFont="1" applyFill="1" applyBorder="1" applyAlignment="1" applyProtection="1">
      <alignment horizontal="center" vertical="center"/>
      <protection locked="0"/>
    </xf>
    <xf numFmtId="9" fontId="15" fillId="5" borderId="63" xfId="2" applyFont="1" applyFill="1" applyBorder="1" applyAlignment="1" applyProtection="1">
      <alignment horizontal="center" vertical="center"/>
      <protection locked="0"/>
    </xf>
    <xf numFmtId="164" fontId="6" fillId="6" borderId="9" xfId="1" applyNumberFormat="1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Protection="1">
      <protection locked="0"/>
    </xf>
    <xf numFmtId="164" fontId="15" fillId="2" borderId="0" xfId="0" applyNumberFormat="1" applyFont="1" applyFill="1" applyProtection="1">
      <protection locked="0"/>
    </xf>
    <xf numFmtId="0" fontId="15" fillId="0" borderId="0" xfId="0" applyFont="1" applyProtection="1">
      <protection locked="0"/>
    </xf>
    <xf numFmtId="49" fontId="15" fillId="0" borderId="0" xfId="0" applyNumberFormat="1" applyFont="1" applyProtection="1">
      <protection locked="0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Protection="1">
      <protection locked="0"/>
    </xf>
    <xf numFmtId="49" fontId="15" fillId="5" borderId="0" xfId="0" applyNumberFormat="1" applyFont="1" applyFill="1" applyProtection="1"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16" fontId="8" fillId="3" borderId="36" xfId="0" applyNumberFormat="1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wrapText="1"/>
      <protection locked="0"/>
    </xf>
    <xf numFmtId="0" fontId="15" fillId="0" borderId="59" xfId="0" applyFont="1" applyBorder="1" applyProtection="1">
      <protection locked="0"/>
    </xf>
    <xf numFmtId="0" fontId="15" fillId="5" borderId="10" xfId="0" applyFont="1" applyFill="1" applyBorder="1" applyProtection="1">
      <protection locked="0"/>
    </xf>
    <xf numFmtId="0" fontId="15" fillId="5" borderId="8" xfId="0" applyFont="1" applyFill="1" applyBorder="1" applyProtection="1">
      <protection locked="0"/>
    </xf>
    <xf numFmtId="0" fontId="15" fillId="5" borderId="8" xfId="0" applyFont="1" applyFill="1" applyBorder="1" applyAlignment="1" applyProtection="1">
      <alignment horizontal="right"/>
      <protection locked="0"/>
    </xf>
    <xf numFmtId="0" fontId="15" fillId="5" borderId="30" xfId="0" applyFont="1" applyFill="1" applyBorder="1" applyAlignment="1" applyProtection="1">
      <alignment horizontal="right"/>
      <protection locked="0"/>
    </xf>
    <xf numFmtId="164" fontId="15" fillId="6" borderId="47" xfId="1" applyNumberFormat="1" applyFont="1" applyFill="1" applyBorder="1" applyAlignment="1" applyProtection="1">
      <alignment horizontal="right"/>
      <protection hidden="1"/>
    </xf>
    <xf numFmtId="164" fontId="15" fillId="5" borderId="30" xfId="1" applyNumberFormat="1" applyFont="1" applyFill="1" applyBorder="1" applyAlignment="1" applyProtection="1">
      <alignment horizontal="right"/>
      <protection locked="0"/>
    </xf>
    <xf numFmtId="164" fontId="6" fillId="6" borderId="30" xfId="1" applyNumberFormat="1" applyFont="1" applyFill="1" applyBorder="1" applyAlignment="1" applyProtection="1">
      <alignment horizontal="right"/>
      <protection hidden="1"/>
    </xf>
    <xf numFmtId="164" fontId="15" fillId="6" borderId="30" xfId="1" applyNumberFormat="1" applyFont="1" applyFill="1" applyBorder="1" applyAlignment="1" applyProtection="1">
      <alignment horizontal="right"/>
      <protection hidden="1"/>
    </xf>
    <xf numFmtId="168" fontId="15" fillId="6" borderId="30" xfId="1" applyNumberFormat="1" applyFont="1" applyFill="1" applyBorder="1" applyAlignment="1" applyProtection="1">
      <alignment horizontal="right"/>
      <protection hidden="1"/>
    </xf>
    <xf numFmtId="164" fontId="15" fillId="6" borderId="46" xfId="1" applyNumberFormat="1" applyFont="1" applyFill="1" applyBorder="1" applyAlignment="1" applyProtection="1">
      <alignment horizontal="right"/>
      <protection hidden="1"/>
    </xf>
    <xf numFmtId="164" fontId="15" fillId="6" borderId="8" xfId="1" applyNumberFormat="1" applyFont="1" applyFill="1" applyBorder="1" applyAlignment="1" applyProtection="1">
      <alignment horizontal="center"/>
      <protection hidden="1"/>
    </xf>
    <xf numFmtId="164" fontId="15" fillId="6" borderId="33" xfId="1" applyNumberFormat="1" applyFont="1" applyFill="1" applyBorder="1" applyAlignment="1" applyProtection="1">
      <alignment horizontal="center"/>
      <protection hidden="1"/>
    </xf>
    <xf numFmtId="164" fontId="15" fillId="6" borderId="46" xfId="1" applyNumberFormat="1" applyFont="1" applyFill="1" applyBorder="1" applyAlignment="1" applyProtection="1">
      <alignment horizontal="center"/>
      <protection hidden="1"/>
    </xf>
    <xf numFmtId="164" fontId="15" fillId="6" borderId="30" xfId="1" applyNumberFormat="1" applyFont="1" applyFill="1" applyBorder="1" applyAlignment="1" applyProtection="1">
      <alignment horizontal="center"/>
      <protection hidden="1"/>
    </xf>
    <xf numFmtId="164" fontId="15" fillId="0" borderId="46" xfId="1" applyNumberFormat="1" applyFont="1" applyFill="1" applyBorder="1" applyAlignment="1" applyProtection="1">
      <alignment horizontal="center"/>
      <protection locked="0"/>
    </xf>
    <xf numFmtId="164" fontId="15" fillId="6" borderId="48" xfId="1" applyNumberFormat="1" applyFont="1" applyFill="1" applyBorder="1" applyAlignment="1" applyProtection="1">
      <alignment horizontal="center"/>
      <protection locked="0"/>
    </xf>
    <xf numFmtId="164" fontId="15" fillId="6" borderId="61" xfId="1" applyNumberFormat="1" applyFont="1" applyFill="1" applyBorder="1" applyAlignment="1" applyProtection="1">
      <alignment horizontal="center"/>
      <protection locked="0"/>
    </xf>
    <xf numFmtId="164" fontId="15" fillId="0" borderId="62" xfId="1" applyNumberFormat="1" applyFont="1" applyFill="1" applyBorder="1" applyAlignment="1" applyProtection="1">
      <alignment horizontal="center"/>
      <protection locked="0"/>
    </xf>
    <xf numFmtId="164" fontId="15" fillId="0" borderId="30" xfId="1" applyNumberFormat="1" applyFont="1" applyFill="1" applyBorder="1" applyAlignment="1" applyProtection="1">
      <alignment horizontal="center"/>
      <protection locked="0"/>
    </xf>
    <xf numFmtId="0" fontId="15" fillId="0" borderId="51" xfId="0" quotePrefix="1" applyFont="1" applyBorder="1" applyProtection="1">
      <protection hidden="1"/>
    </xf>
    <xf numFmtId="0" fontId="15" fillId="5" borderId="51" xfId="0" applyFont="1" applyFill="1" applyBorder="1" applyProtection="1">
      <protection hidden="1"/>
    </xf>
    <xf numFmtId="0" fontId="15" fillId="0" borderId="0" xfId="0" quotePrefix="1" applyFont="1" applyProtection="1">
      <protection locked="0"/>
    </xf>
    <xf numFmtId="169" fontId="15" fillId="0" borderId="51" xfId="0" quotePrefix="1" applyNumberFormat="1" applyFont="1" applyBorder="1" applyProtection="1">
      <protection hidden="1"/>
    </xf>
    <xf numFmtId="169" fontId="15" fillId="5" borderId="51" xfId="0" applyNumberFormat="1" applyFont="1" applyFill="1" applyBorder="1" applyProtection="1">
      <protection hidden="1"/>
    </xf>
    <xf numFmtId="0" fontId="15" fillId="5" borderId="12" xfId="0" applyFont="1" applyFill="1" applyBorder="1" applyAlignment="1" applyProtection="1">
      <alignment horizontal="right"/>
      <protection locked="0"/>
    </xf>
    <xf numFmtId="0" fontId="15" fillId="5" borderId="47" xfId="0" applyFont="1" applyFill="1" applyBorder="1" applyAlignment="1" applyProtection="1">
      <alignment horizontal="right"/>
      <protection locked="0"/>
    </xf>
    <xf numFmtId="164" fontId="15" fillId="6" borderId="12" xfId="1" applyNumberFormat="1" applyFont="1" applyFill="1" applyBorder="1" applyAlignment="1" applyProtection="1">
      <alignment horizontal="center"/>
      <protection hidden="1"/>
    </xf>
    <xf numFmtId="164" fontId="15" fillId="6" borderId="47" xfId="1" applyNumberFormat="1" applyFont="1" applyFill="1" applyBorder="1" applyAlignment="1" applyProtection="1">
      <alignment horizontal="center"/>
      <protection hidden="1"/>
    </xf>
    <xf numFmtId="164" fontId="15" fillId="6" borderId="60" xfId="1" applyNumberFormat="1" applyFont="1" applyFill="1" applyBorder="1" applyAlignment="1" applyProtection="1">
      <alignment horizontal="center"/>
      <protection locked="0"/>
    </xf>
    <xf numFmtId="164" fontId="15" fillId="6" borderId="58" xfId="1" applyNumberFormat="1" applyFont="1" applyFill="1" applyBorder="1" applyAlignment="1" applyProtection="1">
      <alignment horizontal="center"/>
      <protection locked="0"/>
    </xf>
    <xf numFmtId="164" fontId="15" fillId="0" borderId="38" xfId="1" applyNumberFormat="1" applyFont="1" applyFill="1" applyBorder="1" applyAlignment="1" applyProtection="1">
      <alignment horizontal="center"/>
      <protection locked="0"/>
    </xf>
    <xf numFmtId="43" fontId="15" fillId="6" borderId="47" xfId="1" applyNumberFormat="1" applyFont="1" applyFill="1" applyBorder="1" applyAlignment="1" applyProtection="1">
      <alignment horizontal="center"/>
      <protection hidden="1"/>
    </xf>
    <xf numFmtId="164" fontId="15" fillId="5" borderId="47" xfId="1" applyNumberFormat="1" applyFont="1" applyFill="1" applyBorder="1" applyAlignment="1" applyProtection="1">
      <alignment horizontal="right"/>
      <protection locked="0"/>
    </xf>
    <xf numFmtId="164" fontId="15" fillId="5" borderId="12" xfId="1" applyNumberFormat="1" applyFont="1" applyFill="1" applyBorder="1" applyAlignment="1" applyProtection="1">
      <alignment horizontal="right"/>
      <protection locked="0"/>
    </xf>
    <xf numFmtId="164" fontId="15" fillId="5" borderId="11" xfId="1" applyNumberFormat="1" applyFont="1" applyFill="1" applyBorder="1" applyAlignment="1" applyProtection="1">
      <alignment horizontal="right"/>
      <protection locked="0"/>
    </xf>
    <xf numFmtId="164" fontId="15" fillId="5" borderId="47" xfId="1" applyNumberFormat="1" applyFont="1" applyFill="1" applyBorder="1" applyAlignment="1" applyProtection="1">
      <alignment horizontal="center"/>
      <protection hidden="1"/>
    </xf>
    <xf numFmtId="164" fontId="15" fillId="5" borderId="24" xfId="1" applyNumberFormat="1" applyFont="1" applyFill="1" applyBorder="1" applyAlignment="1" applyProtection="1">
      <alignment horizontal="right"/>
      <protection locked="0"/>
    </xf>
    <xf numFmtId="0" fontId="15" fillId="5" borderId="34" xfId="0" applyFont="1" applyFill="1" applyBorder="1" applyAlignment="1" applyProtection="1">
      <alignment horizontal="right"/>
      <protection locked="0"/>
    </xf>
    <xf numFmtId="0" fontId="15" fillId="5" borderId="50" xfId="0" applyFont="1" applyFill="1" applyBorder="1" applyAlignment="1" applyProtection="1">
      <alignment horizontal="right"/>
      <protection locked="0"/>
    </xf>
    <xf numFmtId="164" fontId="15" fillId="5" borderId="50" xfId="1" applyNumberFormat="1" applyFont="1" applyFill="1" applyBorder="1" applyAlignment="1" applyProtection="1">
      <alignment horizontal="right"/>
      <protection locked="0"/>
    </xf>
    <xf numFmtId="164" fontId="15" fillId="5" borderId="17" xfId="1" applyNumberFormat="1" applyFont="1" applyFill="1" applyBorder="1" applyAlignment="1" applyProtection="1">
      <alignment horizontal="right"/>
      <protection locked="0"/>
    </xf>
    <xf numFmtId="164" fontId="15" fillId="5" borderId="12" xfId="1" applyNumberFormat="1" applyFont="1" applyFill="1" applyBorder="1" applyAlignment="1" applyProtection="1">
      <alignment horizontal="center"/>
      <protection locked="0"/>
    </xf>
    <xf numFmtId="0" fontId="15" fillId="5" borderId="34" xfId="0" applyFont="1" applyFill="1" applyBorder="1" applyProtection="1">
      <protection locked="0"/>
    </xf>
    <xf numFmtId="164" fontId="15" fillId="5" borderId="47" xfId="1" applyNumberFormat="1" applyFont="1" applyFill="1" applyBorder="1" applyAlignment="1" applyProtection="1">
      <alignment horizontal="center"/>
      <protection locked="0"/>
    </xf>
    <xf numFmtId="164" fontId="15" fillId="6" borderId="44" xfId="1" applyNumberFormat="1" applyFont="1" applyFill="1" applyBorder="1" applyAlignment="1" applyProtection="1">
      <alignment horizontal="center"/>
      <protection hidden="1"/>
    </xf>
    <xf numFmtId="164" fontId="15" fillId="6" borderId="14" xfId="1" applyNumberFormat="1" applyFont="1" applyFill="1" applyBorder="1" applyAlignment="1" applyProtection="1">
      <alignment horizontal="center"/>
      <protection hidden="1"/>
    </xf>
    <xf numFmtId="164" fontId="15" fillId="0" borderId="36" xfId="1" applyNumberFormat="1" applyFont="1" applyFill="1" applyBorder="1" applyAlignment="1" applyProtection="1">
      <alignment horizontal="center"/>
      <protection locked="0"/>
    </xf>
    <xf numFmtId="164" fontId="15" fillId="6" borderId="40" xfId="1" applyNumberFormat="1" applyFont="1" applyFill="1" applyBorder="1" applyAlignment="1" applyProtection="1">
      <alignment horizontal="center"/>
      <protection locked="0"/>
    </xf>
    <xf numFmtId="164" fontId="15" fillId="6" borderId="54" xfId="1" applyNumberFormat="1" applyFont="1" applyFill="1" applyBorder="1" applyAlignment="1" applyProtection="1">
      <alignment horizontal="center"/>
      <protection locked="0"/>
    </xf>
    <xf numFmtId="0" fontId="15" fillId="0" borderId="7" xfId="0" quotePrefix="1" applyFont="1" applyBorder="1" applyProtection="1">
      <protection hidden="1"/>
    </xf>
    <xf numFmtId="0" fontId="15" fillId="5" borderId="7" xfId="0" applyFont="1" applyFill="1" applyBorder="1" applyProtection="1">
      <protection hidden="1"/>
    </xf>
    <xf numFmtId="0" fontId="8" fillId="17" borderId="1" xfId="0" applyFont="1" applyFill="1" applyBorder="1" applyAlignment="1" applyProtection="1">
      <alignment horizontal="center"/>
      <protection locked="0"/>
    </xf>
    <xf numFmtId="0" fontId="8" fillId="17" borderId="19" xfId="0" applyFont="1" applyFill="1" applyBorder="1" applyAlignment="1" applyProtection="1">
      <alignment horizontal="center"/>
      <protection hidden="1"/>
    </xf>
    <xf numFmtId="0" fontId="8" fillId="17" borderId="13" xfId="0" applyFont="1" applyFill="1" applyBorder="1" applyAlignment="1" applyProtection="1">
      <alignment horizontal="center"/>
      <protection locked="0"/>
    </xf>
    <xf numFmtId="164" fontId="8" fillId="17" borderId="13" xfId="1" applyNumberFormat="1" applyFont="1" applyFill="1" applyBorder="1" applyAlignment="1" applyProtection="1">
      <alignment horizontal="center"/>
      <protection hidden="1"/>
    </xf>
    <xf numFmtId="164" fontId="8" fillId="17" borderId="13" xfId="1" applyNumberFormat="1" applyFont="1" applyFill="1" applyBorder="1" applyAlignment="1" applyProtection="1">
      <alignment horizontal="center"/>
      <protection locked="0"/>
    </xf>
    <xf numFmtId="164" fontId="8" fillId="17" borderId="19" xfId="1" applyNumberFormat="1" applyFont="1" applyFill="1" applyBorder="1" applyAlignment="1" applyProtection="1">
      <alignment horizontal="center"/>
      <protection locked="0"/>
    </xf>
    <xf numFmtId="164" fontId="8" fillId="17" borderId="19" xfId="1" applyNumberFormat="1" applyFont="1" applyFill="1" applyBorder="1" applyAlignment="1" applyProtection="1">
      <alignment horizontal="center"/>
      <protection hidden="1"/>
    </xf>
    <xf numFmtId="164" fontId="8" fillId="17" borderId="20" xfId="1" applyNumberFormat="1" applyFont="1" applyFill="1" applyBorder="1" applyAlignment="1" applyProtection="1">
      <alignment horizontal="center"/>
      <protection locked="0"/>
    </xf>
    <xf numFmtId="164" fontId="8" fillId="17" borderId="3" xfId="1" applyNumberFormat="1" applyFont="1" applyFill="1" applyBorder="1" applyAlignment="1" applyProtection="1">
      <alignment horizontal="center"/>
      <protection hidden="1"/>
    </xf>
    <xf numFmtId="164" fontId="8" fillId="17" borderId="20" xfId="1" applyNumberFormat="1" applyFont="1" applyFill="1" applyBorder="1" applyAlignment="1" applyProtection="1">
      <alignment horizontal="center"/>
      <protection hidden="1"/>
    </xf>
    <xf numFmtId="164" fontId="8" fillId="17" borderId="15" xfId="1" applyNumberFormat="1" applyFont="1" applyFill="1" applyBorder="1" applyAlignment="1" applyProtection="1">
      <alignment horizontal="center"/>
      <protection locked="0"/>
    </xf>
    <xf numFmtId="164" fontId="8" fillId="17" borderId="4" xfId="1" applyNumberFormat="1" applyFont="1" applyFill="1" applyBorder="1" applyAlignment="1" applyProtection="1">
      <alignment horizontal="center"/>
      <protection locked="0"/>
    </xf>
    <xf numFmtId="165" fontId="15" fillId="5" borderId="0" xfId="0" applyNumberFormat="1" applyFont="1" applyFill="1" applyProtection="1">
      <protection locked="0"/>
    </xf>
    <xf numFmtId="0" fontId="8" fillId="3" borderId="23" xfId="0" applyFont="1" applyFill="1" applyBorder="1" applyAlignment="1" applyProtection="1">
      <alignment horizontal="center"/>
      <protection locked="0"/>
    </xf>
    <xf numFmtId="0" fontId="8" fillId="3" borderId="21" xfId="0" applyFont="1" applyFill="1" applyBorder="1" applyAlignment="1" applyProtection="1">
      <alignment horizontal="center"/>
      <protection hidden="1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164" fontId="6" fillId="2" borderId="0" xfId="1" applyNumberFormat="1" applyFont="1" applyFill="1" applyBorder="1" applyAlignment="1" applyProtection="1">
      <alignment horizontal="right" vertical="center"/>
      <protection locked="0"/>
    </xf>
    <xf numFmtId="0" fontId="15" fillId="2" borderId="36" xfId="0" applyFont="1" applyFill="1" applyBorder="1" applyProtection="1">
      <protection locked="0"/>
    </xf>
    <xf numFmtId="0" fontId="15" fillId="9" borderId="33" xfId="0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0" fontId="15" fillId="5" borderId="12" xfId="0" applyFont="1" applyFill="1" applyBorder="1" applyProtection="1">
      <protection locked="0"/>
    </xf>
    <xf numFmtId="0" fontId="15" fillId="2" borderId="12" xfId="0" applyFont="1" applyFill="1" applyBorder="1" applyProtection="1">
      <protection locked="0"/>
    </xf>
    <xf numFmtId="0" fontId="15" fillId="5" borderId="13" xfId="0" applyFont="1" applyFill="1" applyBorder="1" applyProtection="1">
      <protection locked="0"/>
    </xf>
    <xf numFmtId="164" fontId="15" fillId="5" borderId="13" xfId="1" applyNumberFormat="1" applyFont="1" applyFill="1" applyBorder="1" applyAlignment="1" applyProtection="1">
      <alignment horizontal="center"/>
      <protection locked="0"/>
    </xf>
    <xf numFmtId="164" fontId="15" fillId="5" borderId="5" xfId="1" applyNumberFormat="1" applyFont="1" applyFill="1" applyBorder="1" applyAlignment="1" applyProtection="1">
      <alignment horizontal="center"/>
      <protection locked="0"/>
    </xf>
    <xf numFmtId="164" fontId="15" fillId="5" borderId="13" xfId="1" applyNumberFormat="1" applyFont="1" applyFill="1" applyBorder="1" applyAlignment="1" applyProtection="1">
      <alignment horizontal="center"/>
      <protection hidden="1"/>
    </xf>
    <xf numFmtId="0" fontId="15" fillId="5" borderId="0" xfId="0" applyFont="1" applyFill="1" applyBorder="1" applyProtection="1">
      <protection locked="0"/>
    </xf>
    <xf numFmtId="14" fontId="6" fillId="2" borderId="14" xfId="0" applyNumberFormat="1" applyFont="1" applyFill="1" applyBorder="1" applyProtection="1">
      <protection locked="0"/>
    </xf>
    <xf numFmtId="0" fontId="15" fillId="5" borderId="36" xfId="0" applyFont="1" applyFill="1" applyBorder="1" applyProtection="1">
      <protection locked="0"/>
    </xf>
    <xf numFmtId="164" fontId="15" fillId="5" borderId="36" xfId="1" applyNumberFormat="1" applyFont="1" applyFill="1" applyBorder="1" applyAlignment="1" applyProtection="1">
      <alignment horizontal="center"/>
      <protection locked="0"/>
    </xf>
    <xf numFmtId="164" fontId="15" fillId="5" borderId="39" xfId="1" applyNumberFormat="1" applyFont="1" applyFill="1" applyBorder="1" applyAlignment="1" applyProtection="1">
      <alignment horizontal="center"/>
      <protection locked="0"/>
    </xf>
    <xf numFmtId="14" fontId="15" fillId="2" borderId="19" xfId="0" applyNumberFormat="1" applyFont="1" applyFill="1" applyBorder="1" applyProtection="1">
      <protection locked="0"/>
    </xf>
    <xf numFmtId="14" fontId="15" fillId="5" borderId="14" xfId="0" applyNumberFormat="1" applyFont="1" applyFill="1" applyBorder="1" applyProtection="1">
      <protection locked="0"/>
    </xf>
    <xf numFmtId="0" fontId="15" fillId="5" borderId="44" xfId="0" applyFont="1" applyFill="1" applyBorder="1" applyProtection="1">
      <protection locked="0"/>
    </xf>
    <xf numFmtId="16" fontId="15" fillId="5" borderId="14" xfId="0" applyNumberFormat="1" applyFont="1" applyFill="1" applyBorder="1" applyProtection="1">
      <protection locked="0"/>
    </xf>
    <xf numFmtId="14" fontId="6" fillId="2" borderId="14" xfId="0" applyNumberFormat="1" applyFont="1" applyFill="1" applyBorder="1" applyAlignment="1" applyProtection="1">
      <alignment horizontal="center"/>
      <protection locked="0"/>
    </xf>
    <xf numFmtId="0" fontId="15" fillId="5" borderId="28" xfId="0" applyFont="1" applyFill="1" applyBorder="1" applyProtection="1">
      <protection locked="0"/>
    </xf>
    <xf numFmtId="164" fontId="8" fillId="17" borderId="39" xfId="1" applyNumberFormat="1" applyFont="1" applyFill="1" applyBorder="1" applyAlignment="1" applyProtection="1">
      <alignment horizontal="center"/>
      <protection hidden="1"/>
    </xf>
    <xf numFmtId="0" fontId="15" fillId="5" borderId="19" xfId="0" applyFont="1" applyFill="1" applyBorder="1" applyProtection="1">
      <protection locked="0"/>
    </xf>
    <xf numFmtId="0" fontId="15" fillId="5" borderId="14" xfId="0" applyFont="1" applyFill="1" applyBorder="1" applyProtection="1"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6" fillId="4" borderId="19" xfId="0" applyFont="1" applyFill="1" applyBorder="1" applyAlignment="1" applyProtection="1">
      <alignment horizontal="right" vertical="top"/>
      <protection locked="0"/>
    </xf>
    <xf numFmtId="1" fontId="15" fillId="23" borderId="13" xfId="0" applyNumberFormat="1" applyFont="1" applyFill="1" applyBorder="1" applyAlignment="1" applyProtection="1">
      <alignment horizontal="center" vertical="top"/>
      <protection hidden="1"/>
    </xf>
    <xf numFmtId="0" fontId="6" fillId="4" borderId="14" xfId="0" applyFont="1" applyFill="1" applyBorder="1" applyAlignment="1" applyProtection="1">
      <alignment horizontal="right" vertical="top"/>
      <protection locked="0"/>
    </xf>
    <xf numFmtId="1" fontId="15" fillId="23" borderId="36" xfId="0" applyNumberFormat="1" applyFont="1" applyFill="1" applyBorder="1" applyAlignment="1" applyProtection="1">
      <alignment horizontal="center" vertical="top"/>
      <protection hidden="1"/>
    </xf>
    <xf numFmtId="0" fontId="15" fillId="2" borderId="0" xfId="0" applyFont="1" applyFill="1" applyBorder="1" applyAlignment="1" applyProtection="1">
      <alignment horizontal="right" vertical="top"/>
      <protection locked="0"/>
    </xf>
    <xf numFmtId="1" fontId="15" fillId="2" borderId="0" xfId="0" applyNumberFormat="1" applyFont="1" applyFill="1" applyBorder="1" applyAlignment="1" applyProtection="1">
      <alignment horizontal="center" vertical="top"/>
      <protection locked="0"/>
    </xf>
    <xf numFmtId="0" fontId="8" fillId="17" borderId="3" xfId="0" applyFont="1" applyFill="1" applyBorder="1" applyAlignment="1" applyProtection="1">
      <alignment horizontal="center"/>
      <protection locked="0"/>
    </xf>
    <xf numFmtId="0" fontId="8" fillId="17" borderId="19" xfId="0" applyFont="1" applyFill="1" applyBorder="1" applyAlignment="1" applyProtection="1">
      <alignment horizontal="center"/>
      <protection locked="0"/>
    </xf>
    <xf numFmtId="0" fontId="8" fillId="17" borderId="5" xfId="0" applyFont="1" applyFill="1" applyBorder="1" applyAlignment="1" applyProtection="1">
      <alignment horizontal="center"/>
      <protection locked="0"/>
    </xf>
    <xf numFmtId="14" fontId="6" fillId="2" borderId="3" xfId="0" applyNumberFormat="1" applyFont="1" applyFill="1" applyBorder="1" applyProtection="1">
      <protection locked="0"/>
    </xf>
    <xf numFmtId="14" fontId="6" fillId="2" borderId="19" xfId="0" applyNumberFormat="1" applyFont="1" applyFill="1" applyBorder="1" applyAlignment="1" applyProtection="1">
      <alignment horizontal="center"/>
      <protection locked="0"/>
    </xf>
    <xf numFmtId="14" fontId="6" fillId="2" borderId="42" xfId="0" applyNumberFormat="1" applyFont="1" applyFill="1" applyBorder="1" applyProtection="1">
      <protection locked="0"/>
    </xf>
    <xf numFmtId="164" fontId="15" fillId="5" borderId="36" xfId="1" applyNumberFormat="1" applyFont="1" applyFill="1" applyBorder="1" applyAlignment="1" applyProtection="1">
      <alignment horizontal="center"/>
      <protection hidden="1"/>
    </xf>
    <xf numFmtId="164" fontId="15" fillId="5" borderId="0" xfId="1" applyNumberFormat="1" applyFont="1" applyFill="1" applyBorder="1" applyAlignment="1" applyProtection="1">
      <alignment horizontal="center"/>
      <protection locked="0"/>
    </xf>
    <xf numFmtId="14" fontId="6" fillId="2" borderId="15" xfId="0" applyNumberFormat="1" applyFont="1" applyFill="1" applyBorder="1" applyProtection="1">
      <protection locked="0"/>
    </xf>
    <xf numFmtId="14" fontId="6" fillId="2" borderId="53" xfId="0" applyNumberFormat="1" applyFont="1" applyFill="1" applyBorder="1" applyProtection="1">
      <protection locked="0"/>
    </xf>
    <xf numFmtId="164" fontId="15" fillId="5" borderId="36" xfId="1" applyNumberFormat="1" applyFont="1" applyFill="1" applyBorder="1" applyProtection="1">
      <protection locked="0"/>
    </xf>
    <xf numFmtId="164" fontId="15" fillId="5" borderId="39" xfId="1" applyNumberFormat="1" applyFont="1" applyFill="1" applyBorder="1" applyProtection="1">
      <protection locked="0"/>
    </xf>
    <xf numFmtId="14" fontId="6" fillId="2" borderId="55" xfId="0" applyNumberFormat="1" applyFont="1" applyFill="1" applyBorder="1" applyProtection="1">
      <protection locked="0"/>
    </xf>
    <xf numFmtId="0" fontId="15" fillId="5" borderId="37" xfId="0" applyFont="1" applyFill="1" applyBorder="1" applyProtection="1">
      <protection locked="0"/>
    </xf>
    <xf numFmtId="164" fontId="8" fillId="17" borderId="36" xfId="1" applyNumberFormat="1" applyFont="1" applyFill="1" applyBorder="1" applyAlignment="1" applyProtection="1">
      <alignment horizontal="center"/>
      <protection hidden="1"/>
    </xf>
    <xf numFmtId="164" fontId="8" fillId="17" borderId="43" xfId="1" applyNumberFormat="1" applyFont="1" applyFill="1" applyBorder="1" applyAlignment="1" applyProtection="1">
      <alignment horizontal="center"/>
      <protection locked="0"/>
    </xf>
    <xf numFmtId="0" fontId="8" fillId="17" borderId="13" xfId="0" applyFont="1" applyFill="1" applyBorder="1" applyAlignment="1" applyProtection="1">
      <alignment horizontal="left"/>
      <protection locked="0"/>
    </xf>
    <xf numFmtId="14" fontId="6" fillId="2" borderId="19" xfId="0" applyNumberFormat="1" applyFont="1" applyFill="1" applyBorder="1" applyAlignment="1" applyProtection="1">
      <alignment horizontal="center" vertical="center"/>
      <protection locked="0"/>
    </xf>
    <xf numFmtId="14" fontId="15" fillId="2" borderId="14" xfId="0" applyNumberFormat="1" applyFont="1" applyFill="1" applyBorder="1" applyAlignment="1" applyProtection="1">
      <alignment horizontal="center" vertical="center"/>
      <protection locked="0"/>
    </xf>
    <xf numFmtId="14" fontId="6" fillId="2" borderId="14" xfId="0" applyNumberFormat="1" applyFont="1" applyFill="1" applyBorder="1" applyAlignment="1" applyProtection="1">
      <alignment horizontal="center" vertical="center"/>
      <protection locked="0"/>
    </xf>
    <xf numFmtId="14" fontId="15" fillId="2" borderId="19" xfId="0" applyNumberFormat="1" applyFont="1" applyFill="1" applyBorder="1" applyAlignment="1" applyProtection="1">
      <alignment horizontal="center" vertical="center"/>
      <protection locked="0"/>
    </xf>
    <xf numFmtId="14" fontId="15" fillId="5" borderId="14" xfId="0" applyNumberFormat="1" applyFont="1" applyFill="1" applyBorder="1" applyAlignment="1" applyProtection="1">
      <alignment horizontal="center" vertical="center"/>
      <protection locked="0"/>
    </xf>
    <xf numFmtId="16" fontId="15" fillId="5" borderId="14" xfId="0" applyNumberFormat="1" applyFont="1" applyFill="1" applyBorder="1" applyAlignment="1" applyProtection="1">
      <alignment horizontal="center" vertical="center"/>
      <protection locked="0"/>
    </xf>
    <xf numFmtId="0" fontId="15" fillId="5" borderId="37" xfId="0" applyFont="1" applyFill="1" applyBorder="1" applyAlignment="1" applyProtection="1">
      <alignment horizontal="center" vertical="center"/>
      <protection locked="0"/>
    </xf>
    <xf numFmtId="164" fontId="8" fillId="17" borderId="5" xfId="1" applyNumberFormat="1" applyFont="1" applyFill="1" applyBorder="1" applyAlignment="1" applyProtection="1">
      <alignment horizontal="center"/>
      <protection locked="0"/>
    </xf>
    <xf numFmtId="164" fontId="8" fillId="17" borderId="5" xfId="1" applyNumberFormat="1" applyFont="1" applyFill="1" applyBorder="1" applyAlignment="1" applyProtection="1">
      <alignment horizontal="center"/>
      <protection hidden="1"/>
    </xf>
    <xf numFmtId="164" fontId="6" fillId="6" borderId="10" xfId="1" applyNumberFormat="1" applyFont="1" applyFill="1" applyBorder="1" applyAlignment="1" applyProtection="1">
      <alignment horizontal="right" vertical="center"/>
      <protection hidden="1"/>
    </xf>
    <xf numFmtId="164" fontId="6" fillId="6" borderId="25" xfId="1" applyNumberFormat="1" applyFont="1" applyFill="1" applyBorder="1" applyAlignment="1" applyProtection="1">
      <alignment horizontal="right" vertical="center"/>
      <protection hidden="1"/>
    </xf>
    <xf numFmtId="164" fontId="15" fillId="21" borderId="32" xfId="1" applyNumberFormat="1" applyFont="1" applyFill="1" applyBorder="1" applyAlignment="1" applyProtection="1">
      <alignment horizontal="right" vertical="center"/>
      <protection hidden="1"/>
    </xf>
    <xf numFmtId="164" fontId="24" fillId="21" borderId="36" xfId="1" applyNumberFormat="1" applyFont="1" applyFill="1" applyBorder="1" applyAlignment="1" applyProtection="1">
      <alignment horizontal="center" vertical="center"/>
      <protection hidden="1"/>
    </xf>
    <xf numFmtId="9" fontId="15" fillId="5" borderId="9" xfId="2" applyFont="1" applyFill="1" applyBorder="1" applyAlignment="1" applyProtection="1">
      <alignment horizontal="center" vertical="center"/>
      <protection locked="0"/>
    </xf>
    <xf numFmtId="0" fontId="46" fillId="19" borderId="6" xfId="0" applyFont="1" applyFill="1" applyBorder="1" applyAlignment="1" applyProtection="1">
      <alignment horizontal="center"/>
      <protection locked="0"/>
    </xf>
    <xf numFmtId="0" fontId="46" fillId="19" borderId="51" xfId="0" applyFont="1" applyFill="1" applyBorder="1" applyProtection="1">
      <protection locked="0"/>
    </xf>
    <xf numFmtId="0" fontId="46" fillId="19" borderId="38" xfId="0" applyFont="1" applyFill="1" applyBorder="1" applyProtection="1">
      <protection locked="0"/>
    </xf>
    <xf numFmtId="0" fontId="15" fillId="2" borderId="19" xfId="0" applyFont="1" applyFill="1" applyBorder="1" applyProtection="1">
      <protection locked="0"/>
    </xf>
    <xf numFmtId="0" fontId="15" fillId="2" borderId="13" xfId="0" applyFont="1" applyFill="1" applyBorder="1" applyAlignment="1" applyProtection="1">
      <alignment horizontal="center"/>
      <protection locked="0"/>
    </xf>
    <xf numFmtId="0" fontId="8" fillId="3" borderId="22" xfId="0" applyFont="1" applyFill="1" applyBorder="1" applyProtection="1">
      <protection locked="0"/>
    </xf>
    <xf numFmtId="0" fontId="15" fillId="2" borderId="14" xfId="0" applyFont="1" applyFill="1" applyBorder="1" applyProtection="1">
      <protection locked="0"/>
    </xf>
    <xf numFmtId="0" fontId="15" fillId="2" borderId="36" xfId="0" applyFont="1" applyFill="1" applyBorder="1" applyAlignment="1" applyProtection="1">
      <alignment horizontal="center"/>
      <protection locked="0"/>
    </xf>
    <xf numFmtId="0" fontId="46" fillId="2" borderId="19" xfId="0" applyFont="1" applyFill="1" applyBorder="1" applyProtection="1">
      <protection locked="0"/>
    </xf>
    <xf numFmtId="0" fontId="46" fillId="2" borderId="2" xfId="0" applyFont="1" applyFill="1" applyBorder="1" applyProtection="1">
      <protection locked="0"/>
    </xf>
    <xf numFmtId="0" fontId="46" fillId="11" borderId="56" xfId="0" applyFont="1" applyFill="1" applyBorder="1" applyAlignment="1" applyProtection="1">
      <alignment horizontal="center"/>
      <protection locked="0"/>
    </xf>
    <xf numFmtId="0" fontId="15" fillId="8" borderId="14" xfId="0" applyFont="1" applyFill="1" applyBorder="1" applyProtection="1">
      <protection locked="0"/>
    </xf>
    <xf numFmtId="9" fontId="15" fillId="8" borderId="36" xfId="2" applyFont="1" applyFill="1" applyBorder="1" applyAlignment="1" applyProtection="1">
      <alignment horizontal="center"/>
      <protection hidden="1"/>
    </xf>
    <xf numFmtId="0" fontId="46" fillId="2" borderId="14" xfId="0" applyFont="1" applyFill="1" applyBorder="1" applyProtection="1">
      <protection locked="0"/>
    </xf>
    <xf numFmtId="0" fontId="46" fillId="2" borderId="40" xfId="0" applyFont="1" applyFill="1" applyBorder="1" applyProtection="1">
      <protection locked="0"/>
    </xf>
    <xf numFmtId="0" fontId="46" fillId="11" borderId="57" xfId="0" applyFont="1" applyFill="1" applyBorder="1" applyAlignment="1" applyProtection="1">
      <alignment horizontal="center"/>
      <protection locked="0"/>
    </xf>
    <xf numFmtId="0" fontId="8" fillId="13" borderId="1" xfId="0" applyFont="1" applyFill="1" applyBorder="1" applyProtection="1">
      <protection locked="0"/>
    </xf>
    <xf numFmtId="0" fontId="8" fillId="13" borderId="2" xfId="0" applyFont="1" applyFill="1" applyBorder="1" applyProtection="1">
      <protection locked="0"/>
    </xf>
    <xf numFmtId="0" fontId="8" fillId="14" borderId="13" xfId="0" applyFont="1" applyFill="1" applyBorder="1" applyAlignment="1" applyProtection="1">
      <alignment horizontal="center"/>
      <protection hidden="1"/>
    </xf>
    <xf numFmtId="0" fontId="45" fillId="19" borderId="1" xfId="0" applyFont="1" applyFill="1" applyBorder="1" applyProtection="1">
      <protection locked="0"/>
    </xf>
    <xf numFmtId="0" fontId="45" fillId="19" borderId="19" xfId="0" applyFont="1" applyFill="1" applyBorder="1" applyProtection="1">
      <protection locked="0"/>
    </xf>
    <xf numFmtId="0" fontId="8" fillId="20" borderId="13" xfId="0" applyFont="1" applyFill="1" applyBorder="1" applyAlignment="1" applyProtection="1">
      <alignment horizontal="center"/>
      <protection hidden="1"/>
    </xf>
    <xf numFmtId="0" fontId="46" fillId="2" borderId="35" xfId="0" applyFont="1" applyFill="1" applyBorder="1" applyProtection="1">
      <protection locked="0"/>
    </xf>
    <xf numFmtId="0" fontId="46" fillId="2" borderId="36" xfId="0" applyFont="1" applyFill="1" applyBorder="1" applyAlignment="1" applyProtection="1">
      <alignment horizontal="center"/>
      <protection locked="0"/>
    </xf>
    <xf numFmtId="0" fontId="46" fillId="19" borderId="41" xfId="0" applyFont="1" applyFill="1" applyBorder="1" applyProtection="1">
      <protection locked="0"/>
    </xf>
    <xf numFmtId="0" fontId="46" fillId="19" borderId="32" xfId="0" applyFont="1" applyFill="1" applyBorder="1" applyProtection="1">
      <protection locked="0"/>
    </xf>
    <xf numFmtId="0" fontId="46" fillId="19" borderId="39" xfId="0" applyFont="1" applyFill="1" applyBorder="1" applyProtection="1">
      <protection locked="0"/>
    </xf>
    <xf numFmtId="0" fontId="8" fillId="3" borderId="1" xfId="0" applyFont="1" applyFill="1" applyBorder="1" applyProtection="1">
      <protection locked="0"/>
    </xf>
    <xf numFmtId="0" fontId="46" fillId="2" borderId="14" xfId="0" applyFont="1" applyFill="1" applyBorder="1" applyAlignment="1" applyProtection="1">
      <alignment horizontal="center"/>
      <protection hidden="1"/>
    </xf>
    <xf numFmtId="0" fontId="46" fillId="19" borderId="26" xfId="0" applyFont="1" applyFill="1" applyBorder="1" applyProtection="1">
      <protection locked="0"/>
    </xf>
    <xf numFmtId="0" fontId="46" fillId="2" borderId="14" xfId="0" applyFont="1" applyFill="1" applyBorder="1" applyAlignment="1" applyProtection="1">
      <alignment horizontal="center"/>
      <protection locked="0"/>
    </xf>
    <xf numFmtId="0" fontId="45" fillId="19" borderId="35" xfId="0" applyFont="1" applyFill="1" applyBorder="1" applyProtection="1">
      <protection locked="0"/>
    </xf>
    <xf numFmtId="0" fontId="8" fillId="20" borderId="19" xfId="0" applyFont="1" applyFill="1" applyBorder="1" applyAlignment="1" applyProtection="1">
      <alignment horizontal="center"/>
      <protection hidden="1"/>
    </xf>
    <xf numFmtId="9" fontId="46" fillId="12" borderId="14" xfId="2" applyFont="1" applyFill="1" applyBorder="1" applyAlignment="1" applyProtection="1">
      <alignment horizontal="center"/>
      <protection hidden="1"/>
    </xf>
    <xf numFmtId="0" fontId="46" fillId="2" borderId="1" xfId="0" applyFont="1" applyFill="1" applyBorder="1" applyProtection="1">
      <protection locked="0"/>
    </xf>
    <xf numFmtId="9" fontId="46" fillId="12" borderId="19" xfId="2" applyFont="1" applyFill="1" applyBorder="1" applyAlignment="1" applyProtection="1">
      <alignment horizontal="center"/>
      <protection hidden="1"/>
    </xf>
    <xf numFmtId="0" fontId="8" fillId="13" borderId="13" xfId="0" applyFont="1" applyFill="1" applyBorder="1" applyAlignment="1" applyProtection="1">
      <alignment horizontal="center"/>
      <protection hidden="1"/>
    </xf>
    <xf numFmtId="0" fontId="46" fillId="19" borderId="53" xfId="0" applyFont="1" applyFill="1" applyBorder="1" applyProtection="1">
      <protection locked="0"/>
    </xf>
    <xf numFmtId="0" fontId="46" fillId="19" borderId="54" xfId="0" applyFont="1" applyFill="1" applyBorder="1" applyProtection="1">
      <protection locked="0"/>
    </xf>
    <xf numFmtId="0" fontId="46" fillId="19" borderId="19" xfId="0" applyFont="1" applyFill="1" applyBorder="1" applyProtection="1">
      <protection locked="0"/>
    </xf>
    <xf numFmtId="0" fontId="8" fillId="13" borderId="36" xfId="0" applyFont="1" applyFill="1" applyBorder="1" applyAlignment="1" applyProtection="1">
      <alignment horizontal="center"/>
      <protection hidden="1"/>
    </xf>
    <xf numFmtId="0" fontId="8" fillId="21" borderId="1" xfId="0" applyFont="1" applyFill="1" applyBorder="1" applyAlignment="1" applyProtection="1">
      <alignment horizontal="center"/>
      <protection locked="0"/>
    </xf>
    <xf numFmtId="0" fontId="8" fillId="21" borderId="13" xfId="0" applyFont="1" applyFill="1" applyBorder="1" applyAlignment="1" applyProtection="1">
      <alignment horizontal="center"/>
      <protection locked="0"/>
    </xf>
    <xf numFmtId="0" fontId="8" fillId="3" borderId="33" xfId="0" applyFont="1" applyFill="1" applyBorder="1" applyProtection="1">
      <protection locked="0"/>
    </xf>
    <xf numFmtId="164" fontId="34" fillId="6" borderId="36" xfId="1" applyNumberFormat="1" applyFont="1" applyFill="1" applyBorder="1" applyAlignment="1" applyProtection="1">
      <alignment horizontal="right"/>
      <protection hidden="1"/>
    </xf>
    <xf numFmtId="164" fontId="34" fillId="6" borderId="13" xfId="1" applyNumberFormat="1" applyFont="1" applyFill="1" applyBorder="1" applyAlignment="1" applyProtection="1">
      <alignment horizontal="right"/>
      <protection hidden="1"/>
    </xf>
    <xf numFmtId="0" fontId="8" fillId="21" borderId="19" xfId="0" applyFont="1" applyFill="1" applyBorder="1" applyProtection="1">
      <protection locked="0"/>
    </xf>
    <xf numFmtId="164" fontId="8" fillId="21" borderId="20" xfId="1" applyNumberFormat="1" applyFont="1" applyFill="1" applyBorder="1" applyAlignment="1" applyProtection="1">
      <alignment horizontal="right"/>
      <protection hidden="1"/>
    </xf>
    <xf numFmtId="164" fontId="8" fillId="21" borderId="19" xfId="1" applyNumberFormat="1" applyFont="1" applyFill="1" applyBorder="1" applyAlignment="1" applyProtection="1">
      <alignment horizontal="right"/>
      <protection hidden="1"/>
    </xf>
    <xf numFmtId="164" fontId="6" fillId="6" borderId="13" xfId="1" applyNumberFormat="1" applyFont="1" applyFill="1" applyBorder="1" applyAlignment="1" applyProtection="1">
      <alignment horizontal="right"/>
      <protection hidden="1"/>
    </xf>
    <xf numFmtId="0" fontId="8" fillId="21" borderId="22" xfId="0" applyFont="1" applyFill="1" applyBorder="1" applyAlignment="1" applyProtection="1">
      <alignment horizontal="center" vertical="center"/>
      <protection locked="0"/>
    </xf>
    <xf numFmtId="0" fontId="8" fillId="21" borderId="18" xfId="0" applyFont="1" applyFill="1" applyBorder="1" applyAlignment="1" applyProtection="1">
      <alignment horizontal="center" vertical="center"/>
      <protection locked="0"/>
    </xf>
    <xf numFmtId="0" fontId="8" fillId="21" borderId="18" xfId="0" applyFont="1" applyFill="1" applyBorder="1" applyAlignment="1" applyProtection="1">
      <alignment horizontal="center" wrapText="1"/>
      <protection locked="0"/>
    </xf>
    <xf numFmtId="0" fontId="8" fillId="21" borderId="21" xfId="0" applyFont="1" applyFill="1" applyBorder="1" applyAlignment="1" applyProtection="1">
      <alignment horizontal="center" wrapText="1"/>
      <protection locked="0"/>
    </xf>
    <xf numFmtId="0" fontId="15" fillId="2" borderId="33" xfId="0" applyFont="1" applyFill="1" applyBorder="1" applyAlignment="1" applyProtection="1">
      <alignment horizontal="center"/>
      <protection locked="0"/>
    </xf>
    <xf numFmtId="164" fontId="15" fillId="6" borderId="64" xfId="1" applyNumberFormat="1" applyFont="1" applyFill="1" applyBorder="1" applyAlignment="1" applyProtection="1">
      <alignment horizontal="right"/>
      <protection hidden="1"/>
    </xf>
    <xf numFmtId="43" fontId="15" fillId="6" borderId="64" xfId="1" applyNumberFormat="1" applyFont="1" applyFill="1" applyBorder="1" applyAlignment="1" applyProtection="1">
      <alignment horizontal="right"/>
      <protection hidden="1"/>
    </xf>
    <xf numFmtId="43" fontId="15" fillId="6" borderId="33" xfId="1" applyNumberFormat="1" applyFont="1" applyFill="1" applyBorder="1" applyAlignment="1" applyProtection="1">
      <alignment horizontal="right"/>
      <protection hidden="1"/>
    </xf>
    <xf numFmtId="0" fontId="15" fillId="2" borderId="12" xfId="0" applyFont="1" applyFill="1" applyBorder="1" applyAlignment="1" applyProtection="1">
      <alignment horizontal="center"/>
      <protection locked="0"/>
    </xf>
    <xf numFmtId="164" fontId="15" fillId="6" borderId="16" xfId="1" applyNumberFormat="1" applyFont="1" applyFill="1" applyBorder="1" applyAlignment="1" applyProtection="1">
      <alignment horizontal="right"/>
      <protection hidden="1"/>
    </xf>
    <xf numFmtId="164" fontId="15" fillId="6" borderId="12" xfId="1" applyNumberFormat="1" applyFont="1" applyFill="1" applyBorder="1" applyAlignment="1" applyProtection="1">
      <alignment horizontal="right"/>
      <protection hidden="1"/>
    </xf>
    <xf numFmtId="1" fontId="15" fillId="2" borderId="44" xfId="0" applyNumberFormat="1" applyFont="1" applyFill="1" applyBorder="1" applyAlignment="1" applyProtection="1">
      <alignment horizontal="center"/>
      <protection locked="0"/>
    </xf>
    <xf numFmtId="164" fontId="15" fillId="6" borderId="63" xfId="1" applyNumberFormat="1" applyFont="1" applyFill="1" applyBorder="1" applyAlignment="1" applyProtection="1">
      <alignment horizontal="right"/>
      <protection hidden="1"/>
    </xf>
    <xf numFmtId="43" fontId="15" fillId="6" borderId="63" xfId="1" applyNumberFormat="1" applyFont="1" applyFill="1" applyBorder="1" applyAlignment="1" applyProtection="1">
      <alignment horizontal="right"/>
      <protection hidden="1"/>
    </xf>
    <xf numFmtId="43" fontId="15" fillId="6" borderId="44" xfId="1" applyNumberFormat="1" applyFont="1" applyFill="1" applyBorder="1" applyAlignment="1" applyProtection="1">
      <alignment horizontal="right"/>
      <protection hidden="1"/>
    </xf>
    <xf numFmtId="2" fontId="15" fillId="2" borderId="33" xfId="0" applyNumberFormat="1" applyFont="1" applyFill="1" applyBorder="1" applyAlignment="1" applyProtection="1">
      <alignment horizontal="center"/>
      <protection locked="0"/>
    </xf>
    <xf numFmtId="164" fontId="15" fillId="6" borderId="33" xfId="1" applyNumberFormat="1" applyFont="1" applyFill="1" applyBorder="1" applyAlignment="1" applyProtection="1">
      <alignment horizontal="right"/>
      <protection hidden="1"/>
    </xf>
    <xf numFmtId="2" fontId="15" fillId="2" borderId="44" xfId="0" applyNumberFormat="1" applyFont="1" applyFill="1" applyBorder="1" applyAlignment="1" applyProtection="1">
      <alignment horizontal="center"/>
      <protection locked="0"/>
    </xf>
    <xf numFmtId="164" fontId="15" fillId="6" borderId="44" xfId="1" applyNumberFormat="1" applyFont="1" applyFill="1" applyBorder="1" applyAlignment="1" applyProtection="1">
      <alignment horizontal="right"/>
      <protection hidden="1"/>
    </xf>
    <xf numFmtId="2" fontId="15" fillId="2" borderId="14" xfId="0" applyNumberFormat="1" applyFont="1" applyFill="1" applyBorder="1" applyAlignment="1" applyProtection="1">
      <alignment horizontal="center"/>
      <protection locked="0"/>
    </xf>
    <xf numFmtId="1" fontId="15" fillId="6" borderId="19" xfId="2" applyNumberFormat="1" applyFont="1" applyFill="1" applyBorder="1" applyAlignment="1" applyProtection="1">
      <alignment horizontal="center"/>
      <protection hidden="1"/>
    </xf>
    <xf numFmtId="9" fontId="15" fillId="2" borderId="19" xfId="0" applyNumberFormat="1" applyFont="1" applyFill="1" applyBorder="1" applyAlignment="1" applyProtection="1">
      <alignment horizontal="center"/>
      <protection locked="0"/>
    </xf>
    <xf numFmtId="9" fontId="15" fillId="6" borderId="19" xfId="2" applyFont="1" applyFill="1" applyBorder="1" applyAlignment="1" applyProtection="1">
      <alignment horizontal="center"/>
      <protection hidden="1"/>
    </xf>
    <xf numFmtId="170" fontId="15" fillId="6" borderId="19" xfId="2" applyNumberFormat="1" applyFont="1" applyFill="1" applyBorder="1" applyAlignment="1" applyProtection="1">
      <alignment horizontal="center"/>
      <protection hidden="1"/>
    </xf>
    <xf numFmtId="0" fontId="8" fillId="21" borderId="1" xfId="0" applyFont="1" applyFill="1" applyBorder="1" applyProtection="1">
      <protection locked="0"/>
    </xf>
    <xf numFmtId="0" fontId="8" fillId="21" borderId="2" xfId="0" applyFont="1" applyFill="1" applyBorder="1" applyAlignment="1" applyProtection="1">
      <alignment horizontal="center"/>
      <protection locked="0"/>
    </xf>
    <xf numFmtId="0" fontId="8" fillId="3" borderId="19" xfId="0" applyFont="1" applyFill="1" applyBorder="1" applyProtection="1">
      <protection locked="0"/>
    </xf>
    <xf numFmtId="9" fontId="15" fillId="2" borderId="19" xfId="2" applyFont="1" applyFill="1" applyBorder="1" applyAlignment="1" applyProtection="1">
      <alignment horizontal="center"/>
      <protection locked="0"/>
    </xf>
    <xf numFmtId="1" fontId="15" fillId="6" borderId="36" xfId="2" applyNumberFormat="1" applyFont="1" applyFill="1" applyBorder="1" applyAlignment="1" applyProtection="1">
      <alignment horizontal="center"/>
      <protection hidden="1"/>
    </xf>
    <xf numFmtId="0" fontId="8" fillId="3" borderId="14" xfId="0" applyFont="1" applyFill="1" applyBorder="1" applyProtection="1">
      <protection locked="0"/>
    </xf>
    <xf numFmtId="9" fontId="15" fillId="2" borderId="14" xfId="2" applyFont="1" applyFill="1" applyBorder="1" applyAlignment="1" applyProtection="1">
      <alignment horizontal="center"/>
      <protection locked="0"/>
    </xf>
    <xf numFmtId="0" fontId="15" fillId="2" borderId="14" xfId="0" applyFont="1" applyFill="1" applyBorder="1" applyAlignment="1" applyProtection="1">
      <alignment horizontal="center"/>
      <protection locked="0"/>
    </xf>
    <xf numFmtId="1" fontId="15" fillId="6" borderId="14" xfId="2" applyNumberFormat="1" applyFont="1" applyFill="1" applyBorder="1" applyAlignment="1" applyProtection="1">
      <alignment horizontal="center" vertical="center"/>
      <protection hidden="1"/>
    </xf>
    <xf numFmtId="0" fontId="8" fillId="3" borderId="37" xfId="0" applyFont="1" applyFill="1" applyBorder="1" applyProtection="1">
      <protection locked="0"/>
    </xf>
    <xf numFmtId="0" fontId="15" fillId="2" borderId="37" xfId="0" applyFont="1" applyFill="1" applyBorder="1" applyAlignment="1" applyProtection="1">
      <alignment horizontal="center"/>
      <protection locked="0"/>
    </xf>
    <xf numFmtId="0" fontId="8" fillId="21" borderId="13" xfId="0" applyFont="1" applyFill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center"/>
      <protection locked="0"/>
    </xf>
    <xf numFmtId="1" fontId="15" fillId="6" borderId="19" xfId="2" applyNumberFormat="1" applyFont="1" applyFill="1" applyBorder="1" applyAlignment="1" applyProtection="1">
      <alignment horizontal="center" vertical="center"/>
      <protection hidden="1"/>
    </xf>
    <xf numFmtId="167" fontId="15" fillId="6" borderId="13" xfId="2" applyNumberFormat="1" applyFont="1" applyFill="1" applyBorder="1" applyAlignment="1" applyProtection="1">
      <alignment horizontal="center"/>
      <protection hidden="1"/>
    </xf>
    <xf numFmtId="167" fontId="15" fillId="6" borderId="36" xfId="2" applyNumberFormat="1" applyFont="1" applyFill="1" applyBorder="1" applyAlignment="1" applyProtection="1">
      <alignment horizontal="center"/>
      <protection hidden="1"/>
    </xf>
    <xf numFmtId="0" fontId="18" fillId="2" borderId="18" xfId="0" applyFont="1" applyFill="1" applyBorder="1" applyAlignment="1" applyProtection="1">
      <protection locked="0"/>
    </xf>
    <xf numFmtId="0" fontId="6" fillId="2" borderId="0" xfId="0" applyFont="1" applyFill="1" applyProtection="1">
      <protection locked="0"/>
    </xf>
    <xf numFmtId="0" fontId="8" fillId="21" borderId="19" xfId="0" applyFont="1" applyFill="1" applyBorder="1" applyAlignment="1" applyProtection="1">
      <alignment horizontal="center"/>
      <protection locked="0"/>
    </xf>
    <xf numFmtId="0" fontId="8" fillId="15" borderId="29" xfId="0" applyFont="1" applyFill="1" applyBorder="1" applyProtection="1">
      <protection locked="0"/>
    </xf>
    <xf numFmtId="0" fontId="6" fillId="2" borderId="33" xfId="0" applyFont="1" applyFill="1" applyBorder="1" applyProtection="1">
      <protection locked="0"/>
    </xf>
    <xf numFmtId="0" fontId="6" fillId="2" borderId="46" xfId="0" applyFont="1" applyFill="1" applyBorder="1" applyProtection="1">
      <protection locked="0"/>
    </xf>
    <xf numFmtId="0" fontId="6" fillId="2" borderId="48" xfId="0" applyFont="1" applyFill="1" applyBorder="1" applyProtection="1">
      <protection locked="0"/>
    </xf>
    <xf numFmtId="0" fontId="6" fillId="2" borderId="12" xfId="0" applyFont="1" applyFill="1" applyBorder="1" applyProtection="1">
      <protection locked="0"/>
    </xf>
    <xf numFmtId="0" fontId="34" fillId="2" borderId="33" xfId="0" applyFont="1" applyFill="1" applyBorder="1" applyAlignment="1" applyProtection="1">
      <alignment horizontal="center"/>
      <protection hidden="1"/>
    </xf>
    <xf numFmtId="0" fontId="8" fillId="15" borderId="16" xfId="0" applyFont="1" applyFill="1" applyBorder="1" applyProtection="1">
      <protection locked="0"/>
    </xf>
    <xf numFmtId="0" fontId="6" fillId="2" borderId="47" xfId="0" applyFont="1" applyFill="1" applyBorder="1" applyProtection="1">
      <protection locked="0"/>
    </xf>
    <xf numFmtId="0" fontId="6" fillId="2" borderId="24" xfId="0" applyFont="1" applyFill="1" applyBorder="1" applyProtection="1">
      <protection locked="0"/>
    </xf>
    <xf numFmtId="0" fontId="34" fillId="2" borderId="12" xfId="0" applyFont="1" applyFill="1" applyBorder="1" applyAlignment="1" applyProtection="1">
      <alignment horizontal="center"/>
      <protection hidden="1"/>
    </xf>
    <xf numFmtId="0" fontId="6" fillId="2" borderId="44" xfId="0" applyFont="1" applyFill="1" applyBorder="1" applyProtection="1">
      <protection locked="0"/>
    </xf>
    <xf numFmtId="0" fontId="8" fillId="15" borderId="49" xfId="0" applyFont="1" applyFill="1" applyBorder="1" applyProtection="1">
      <protection locked="0"/>
    </xf>
    <xf numFmtId="0" fontId="6" fillId="2" borderId="34" xfId="0" applyFont="1" applyFill="1" applyBorder="1" applyProtection="1">
      <protection locked="0"/>
    </xf>
    <xf numFmtId="0" fontId="6" fillId="2" borderId="50" xfId="0" applyFont="1" applyFill="1" applyBorder="1" applyProtection="1">
      <protection locked="0"/>
    </xf>
    <xf numFmtId="0" fontId="6" fillId="2" borderId="17" xfId="0" applyFont="1" applyFill="1" applyBorder="1" applyProtection="1">
      <protection locked="0"/>
    </xf>
    <xf numFmtId="0" fontId="8" fillId="19" borderId="45" xfId="0" applyFont="1" applyFill="1" applyBorder="1" applyProtection="1">
      <protection locked="0"/>
    </xf>
    <xf numFmtId="0" fontId="6" fillId="19" borderId="34" xfId="0" applyFont="1" applyFill="1" applyBorder="1" applyProtection="1">
      <protection locked="0"/>
    </xf>
    <xf numFmtId="0" fontId="6" fillId="19" borderId="50" xfId="0" applyFont="1" applyFill="1" applyBorder="1" applyProtection="1">
      <protection locked="0"/>
    </xf>
    <xf numFmtId="0" fontId="6" fillId="19" borderId="17" xfId="0" applyFont="1" applyFill="1" applyBorder="1" applyProtection="1">
      <protection locked="0"/>
    </xf>
    <xf numFmtId="0" fontId="6" fillId="19" borderId="44" xfId="0" applyFont="1" applyFill="1" applyBorder="1" applyProtection="1">
      <protection locked="0"/>
    </xf>
    <xf numFmtId="0" fontId="8" fillId="19" borderId="44" xfId="0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Protection="1">
      <protection locked="0"/>
    </xf>
    <xf numFmtId="164" fontId="34" fillId="2" borderId="0" xfId="1" applyNumberFormat="1" applyFont="1" applyFill="1" applyBorder="1" applyAlignment="1" applyProtection="1">
      <alignment horizontal="right"/>
      <protection locked="0"/>
    </xf>
    <xf numFmtId="9" fontId="8" fillId="21" borderId="13" xfId="2" applyFont="1" applyFill="1" applyBorder="1" applyAlignment="1" applyProtection="1">
      <alignment horizontal="center"/>
      <protection hidden="1"/>
    </xf>
    <xf numFmtId="0" fontId="45" fillId="2" borderId="0" xfId="0" applyFont="1" applyFill="1" applyBorder="1" applyProtection="1"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4" fillId="5" borderId="0" xfId="0" applyFont="1" applyFill="1" applyAlignment="1" applyProtection="1">
      <alignment horizontal="left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9" xfId="0" applyFont="1" applyFill="1" applyBorder="1" applyAlignment="1" applyProtection="1">
      <alignment horizontal="center"/>
      <protection locked="0"/>
    </xf>
    <xf numFmtId="0" fontId="8" fillId="3" borderId="5" xfId="0" applyFont="1" applyFill="1" applyBorder="1" applyAlignment="1" applyProtection="1">
      <alignment horizontal="center"/>
      <protection locked="0"/>
    </xf>
    <xf numFmtId="49" fontId="8" fillId="3" borderId="19" xfId="0" applyNumberFormat="1" applyFont="1" applyFill="1" applyBorder="1" applyAlignment="1" applyProtection="1">
      <alignment horizontal="left"/>
      <protection locked="0"/>
    </xf>
    <xf numFmtId="0" fontId="18" fillId="2" borderId="19" xfId="0" applyFont="1" applyFill="1" applyBorder="1" applyAlignment="1" applyProtection="1">
      <alignment horizontal="center"/>
      <protection locked="0"/>
    </xf>
    <xf numFmtId="164" fontId="34" fillId="6" borderId="19" xfId="1" applyNumberFormat="1" applyFont="1" applyFill="1" applyBorder="1" applyAlignment="1" applyProtection="1">
      <alignment horizontal="right"/>
      <protection hidden="1"/>
    </xf>
    <xf numFmtId="0" fontId="18" fillId="2" borderId="36" xfId="0" applyFont="1" applyFill="1" applyBorder="1" applyAlignment="1" applyProtection="1">
      <alignment horizontal="center"/>
      <protection locked="0"/>
    </xf>
    <xf numFmtId="49" fontId="8" fillId="21" borderId="1" xfId="0" applyNumberFormat="1" applyFont="1" applyFill="1" applyBorder="1" applyAlignment="1" applyProtection="1">
      <alignment horizontal="left"/>
      <protection locked="0"/>
    </xf>
    <xf numFmtId="0" fontId="8" fillId="21" borderId="19" xfId="0" applyFont="1" applyFill="1" applyBorder="1" applyAlignment="1" applyProtection="1">
      <alignment horizontal="center"/>
      <protection hidden="1"/>
    </xf>
    <xf numFmtId="0" fontId="8" fillId="21" borderId="13" xfId="0" applyFont="1" applyFill="1" applyBorder="1" applyAlignment="1" applyProtection="1">
      <alignment horizontal="center"/>
      <protection hidden="1"/>
    </xf>
    <xf numFmtId="164" fontId="8" fillId="21" borderId="13" xfId="1" applyNumberFormat="1" applyFont="1" applyFill="1" applyBorder="1" applyAlignment="1" applyProtection="1">
      <alignment horizontal="right"/>
      <protection hidden="1"/>
    </xf>
    <xf numFmtId="0" fontId="8" fillId="21" borderId="35" xfId="0" applyFont="1" applyFill="1" applyBorder="1" applyAlignment="1" applyProtection="1">
      <alignment horizontal="center"/>
      <protection locked="0"/>
    </xf>
    <xf numFmtId="0" fontId="8" fillId="21" borderId="14" xfId="0" applyFont="1" applyFill="1" applyBorder="1" applyAlignment="1" applyProtection="1">
      <alignment horizontal="center"/>
      <protection locked="0"/>
    </xf>
    <xf numFmtId="0" fontId="15" fillId="0" borderId="6" xfId="0" applyFont="1" applyBorder="1" applyProtection="1">
      <protection locked="0"/>
    </xf>
    <xf numFmtId="0" fontId="15" fillId="0" borderId="7" xfId="0" applyFont="1" applyBorder="1" applyProtection="1">
      <protection locked="0"/>
    </xf>
    <xf numFmtId="0" fontId="8" fillId="21" borderId="38" xfId="0" applyFont="1" applyFill="1" applyBorder="1" applyAlignment="1" applyProtection="1">
      <alignment horizontal="center"/>
      <protection locked="0"/>
    </xf>
    <xf numFmtId="0" fontId="18" fillId="2" borderId="19" xfId="0" applyFont="1" applyFill="1" applyBorder="1" applyAlignment="1" applyProtection="1">
      <alignment horizontal="center"/>
      <protection hidden="1"/>
    </xf>
    <xf numFmtId="0" fontId="18" fillId="2" borderId="14" xfId="0" applyFont="1" applyFill="1" applyBorder="1" applyAlignment="1" applyProtection="1">
      <alignment horizontal="center"/>
      <protection hidden="1"/>
    </xf>
    <xf numFmtId="0" fontId="15" fillId="0" borderId="10" xfId="0" applyFont="1" applyBorder="1" applyProtection="1">
      <protection locked="0"/>
    </xf>
    <xf numFmtId="164" fontId="34" fillId="2" borderId="25" xfId="1" applyNumberFormat="1" applyFont="1" applyFill="1" applyBorder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center"/>
      <protection locked="0"/>
    </xf>
    <xf numFmtId="0" fontId="15" fillId="0" borderId="25" xfId="0" applyFont="1" applyBorder="1" applyProtection="1">
      <protection locked="0"/>
    </xf>
    <xf numFmtId="1" fontId="44" fillId="0" borderId="26" xfId="0" applyNumberFormat="1" applyFont="1" applyBorder="1" applyAlignment="1" applyProtection="1">
      <alignment horizontal="center" vertical="top"/>
      <protection hidden="1"/>
    </xf>
    <xf numFmtId="0" fontId="15" fillId="0" borderId="9" xfId="0" applyFont="1" applyBorder="1" applyAlignment="1" applyProtection="1">
      <alignment vertical="top"/>
      <protection locked="0"/>
    </xf>
    <xf numFmtId="1" fontId="15" fillId="0" borderId="10" xfId="0" applyNumberFormat="1" applyFont="1" applyBorder="1" applyAlignment="1" applyProtection="1">
      <alignment horizontal="center" vertical="top"/>
      <protection hidden="1"/>
    </xf>
    <xf numFmtId="0" fontId="15" fillId="0" borderId="41" xfId="0" applyFont="1" applyBorder="1" applyAlignment="1" applyProtection="1">
      <alignment vertical="top"/>
      <protection locked="0"/>
    </xf>
    <xf numFmtId="1" fontId="15" fillId="0" borderId="32" xfId="0" applyNumberFormat="1" applyFont="1" applyBorder="1" applyAlignment="1" applyProtection="1">
      <alignment horizontal="center" vertical="top"/>
      <protection hidden="1"/>
    </xf>
    <xf numFmtId="0" fontId="6" fillId="0" borderId="32" xfId="0" applyFont="1" applyBorder="1" applyAlignment="1" applyProtection="1">
      <alignment horizontal="right" vertical="top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34" fillId="23" borderId="19" xfId="0" applyFont="1" applyFill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8" fillId="18" borderId="5" xfId="0" applyFont="1" applyFill="1" applyBorder="1" applyAlignment="1" applyProtection="1">
      <alignment horizontal="center"/>
      <protection locked="0"/>
    </xf>
    <xf numFmtId="164" fontId="15" fillId="6" borderId="33" xfId="0" applyNumberFormat="1" applyFont="1" applyFill="1" applyBorder="1" applyAlignment="1" applyProtection="1">
      <alignment horizontal="right"/>
      <protection hidden="1"/>
    </xf>
    <xf numFmtId="0" fontId="8" fillId="18" borderId="23" xfId="0" applyFont="1" applyFill="1" applyBorder="1" applyAlignment="1" applyProtection="1">
      <alignment horizontal="center"/>
      <protection locked="0"/>
    </xf>
    <xf numFmtId="0" fontId="8" fillId="3" borderId="21" xfId="0" applyFont="1" applyFill="1" applyBorder="1" applyAlignment="1" applyProtection="1">
      <alignment horizontal="center"/>
      <protection locked="0"/>
    </xf>
    <xf numFmtId="0" fontId="8" fillId="3" borderId="31" xfId="0" applyFont="1" applyFill="1" applyBorder="1" applyAlignment="1" applyProtection="1">
      <alignment horizontal="center"/>
      <protection locked="0"/>
    </xf>
    <xf numFmtId="164" fontId="15" fillId="6" borderId="12" xfId="0" applyNumberFormat="1" applyFont="1" applyFill="1" applyBorder="1" applyAlignment="1" applyProtection="1">
      <alignment horizontal="right"/>
      <protection hidden="1"/>
    </xf>
    <xf numFmtId="164" fontId="15" fillId="6" borderId="13" xfId="1" applyNumberFormat="1" applyFont="1" applyFill="1" applyBorder="1" applyAlignment="1" applyProtection="1">
      <protection hidden="1"/>
    </xf>
    <xf numFmtId="164" fontId="15" fillId="6" borderId="36" xfId="1" applyNumberFormat="1" applyFont="1" applyFill="1" applyBorder="1" applyAlignment="1" applyProtection="1">
      <protection hidden="1"/>
    </xf>
    <xf numFmtId="164" fontId="8" fillId="18" borderId="19" xfId="0" applyNumberFormat="1" applyFont="1" applyFill="1" applyBorder="1" applyAlignment="1" applyProtection="1">
      <alignment horizontal="right"/>
      <protection hidden="1"/>
    </xf>
    <xf numFmtId="0" fontId="15" fillId="6" borderId="13" xfId="0" applyFont="1" applyFill="1" applyBorder="1" applyAlignment="1" applyProtection="1">
      <alignment horizontal="center"/>
      <protection hidden="1"/>
    </xf>
    <xf numFmtId="166" fontId="49" fillId="5" borderId="19" xfId="0" applyNumberFormat="1" applyFont="1" applyFill="1" applyBorder="1" applyAlignment="1" applyProtection="1">
      <alignment horizontal="center" vertical="center"/>
      <protection hidden="1"/>
    </xf>
    <xf numFmtId="49" fontId="8" fillId="3" borderId="1" xfId="0" applyNumberFormat="1" applyFont="1" applyFill="1" applyBorder="1" applyAlignment="1" applyProtection="1">
      <alignment horizontal="left"/>
      <protection locked="0"/>
    </xf>
    <xf numFmtId="164" fontId="15" fillId="0" borderId="19" xfId="1" applyNumberFormat="1" applyFont="1" applyBorder="1" applyAlignment="1" applyProtection="1">
      <alignment horizontal="center"/>
      <protection locked="0"/>
    </xf>
    <xf numFmtId="0" fontId="8" fillId="16" borderId="19" xfId="0" applyFont="1" applyFill="1" applyBorder="1" applyAlignment="1" applyProtection="1">
      <alignment horizontal="center"/>
      <protection locked="0"/>
    </xf>
    <xf numFmtId="0" fontId="15" fillId="0" borderId="19" xfId="0" applyFont="1" applyBorder="1" applyProtection="1"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5" fillId="0" borderId="44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12" xfId="0" applyFont="1" applyBorder="1" applyAlignment="1" applyProtection="1">
      <alignment horizontal="center"/>
      <protection locked="0"/>
    </xf>
    <xf numFmtId="164" fontId="15" fillId="0" borderId="19" xfId="1" applyNumberFormat="1" applyFont="1" applyBorder="1" applyProtection="1">
      <protection locked="0"/>
    </xf>
    <xf numFmtId="9" fontId="15" fillId="0" borderId="36" xfId="2" applyFont="1" applyBorder="1" applyProtection="1"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165" fontId="34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36" xfId="0" applyFont="1" applyFill="1" applyBorder="1" applyAlignment="1" applyProtection="1">
      <alignment horizontal="center" vertical="center"/>
      <protection locked="0"/>
    </xf>
    <xf numFmtId="0" fontId="8" fillId="18" borderId="19" xfId="0" applyFont="1" applyFill="1" applyBorder="1" applyAlignment="1" applyProtection="1">
      <alignment horizontal="left"/>
      <protection locked="0"/>
    </xf>
    <xf numFmtId="3" fontId="15" fillId="2" borderId="19" xfId="0" applyNumberFormat="1" applyFont="1" applyFill="1" applyBorder="1" applyAlignment="1" applyProtection="1">
      <alignment horizontal="center"/>
      <protection locked="0"/>
    </xf>
    <xf numFmtId="164" fontId="15" fillId="0" borderId="13" xfId="1" applyNumberFormat="1" applyFont="1" applyBorder="1" applyProtection="1">
      <protection locked="0"/>
    </xf>
    <xf numFmtId="9" fontId="15" fillId="0" borderId="19" xfId="2" applyFont="1" applyBorder="1" applyProtection="1">
      <protection locked="0"/>
    </xf>
    <xf numFmtId="9" fontId="15" fillId="0" borderId="14" xfId="2" applyFont="1" applyBorder="1" applyAlignment="1" applyProtection="1">
      <alignment vertical="center"/>
      <protection locked="0"/>
    </xf>
    <xf numFmtId="0" fontId="8" fillId="3" borderId="14" xfId="0" applyFont="1" applyFill="1" applyBorder="1" applyAlignment="1" applyProtection="1">
      <alignment horizontal="center"/>
      <protection hidden="1"/>
    </xf>
    <xf numFmtId="9" fontId="15" fillId="0" borderId="14" xfId="2" applyFont="1" applyBorder="1" applyProtection="1">
      <protection locked="0"/>
    </xf>
    <xf numFmtId="0" fontId="8" fillId="18" borderId="39" xfId="0" applyFont="1" applyFill="1" applyBorder="1" applyAlignment="1" applyProtection="1">
      <protection locked="0"/>
    </xf>
    <xf numFmtId="9" fontId="15" fillId="0" borderId="13" xfId="2" applyFont="1" applyBorder="1" applyProtection="1">
      <protection locked="0"/>
    </xf>
    <xf numFmtId="164" fontId="15" fillId="0" borderId="14" xfId="1" applyNumberFormat="1" applyFont="1" applyBorder="1" applyProtection="1">
      <protection locked="0"/>
    </xf>
    <xf numFmtId="164" fontId="15" fillId="0" borderId="14" xfId="1" applyNumberFormat="1" applyFont="1" applyBorder="1" applyAlignment="1" applyProtection="1">
      <alignment vertical="center"/>
      <protection locked="0"/>
    </xf>
    <xf numFmtId="9" fontId="15" fillId="0" borderId="36" xfId="2" applyFont="1" applyBorder="1" applyAlignment="1" applyProtection="1">
      <alignment vertical="center"/>
      <protection locked="0"/>
    </xf>
    <xf numFmtId="0" fontId="8" fillId="18" borderId="39" xfId="0" applyFont="1" applyFill="1" applyBorder="1" applyAlignment="1" applyProtection="1">
      <alignment horizontal="center" vertical="center"/>
      <protection hidden="1"/>
    </xf>
    <xf numFmtId="49" fontId="34" fillId="2" borderId="0" xfId="0" applyNumberFormat="1" applyFont="1" applyFill="1" applyBorder="1" applyAlignment="1" applyProtection="1">
      <alignment horizontal="left"/>
      <protection locked="0"/>
    </xf>
    <xf numFmtId="0" fontId="41" fillId="19" borderId="19" xfId="0" applyFont="1" applyFill="1" applyBorder="1" applyAlignment="1" applyProtection="1">
      <alignment horizontal="center"/>
      <protection locked="0"/>
    </xf>
    <xf numFmtId="0" fontId="41" fillId="19" borderId="14" xfId="0" applyFont="1" applyFill="1" applyBorder="1" applyAlignment="1" applyProtection="1">
      <alignment horizontal="center"/>
      <protection locked="0"/>
    </xf>
    <xf numFmtId="1" fontId="50" fillId="0" borderId="0" xfId="0" applyNumberFormat="1" applyFont="1" applyAlignment="1">
      <alignment horizontal="left" vertical="center"/>
    </xf>
    <xf numFmtId="1" fontId="47" fillId="0" borderId="0" xfId="0" applyNumberFormat="1" applyFont="1" applyAlignment="1">
      <alignment vertical="center"/>
    </xf>
    <xf numFmtId="0" fontId="12" fillId="3" borderId="21" xfId="0" applyFont="1" applyFill="1" applyBorder="1" applyAlignment="1" applyProtection="1">
      <alignment horizontal="center" vertical="center"/>
      <protection locked="0"/>
    </xf>
    <xf numFmtId="9" fontId="34" fillId="2" borderId="25" xfId="2" applyFont="1" applyFill="1" applyBorder="1" applyAlignment="1" applyProtection="1">
      <alignment horizontal="center" vertical="center"/>
      <protection locked="0"/>
    </xf>
    <xf numFmtId="164" fontId="15" fillId="6" borderId="26" xfId="1" applyNumberFormat="1" applyFont="1" applyFill="1" applyBorder="1" applyAlignment="1" applyProtection="1">
      <alignment horizontal="right" vertical="center"/>
      <protection hidden="1"/>
    </xf>
    <xf numFmtId="164" fontId="16" fillId="5" borderId="10" xfId="1" applyNumberFormat="1" applyFont="1" applyFill="1" applyBorder="1" applyAlignment="1" applyProtection="1">
      <alignment horizontal="left" vertical="center"/>
      <protection locked="0"/>
    </xf>
    <xf numFmtId="164" fontId="15" fillId="5" borderId="10" xfId="1" applyNumberFormat="1" applyFont="1" applyFill="1" applyBorder="1" applyAlignment="1" applyProtection="1">
      <alignment horizontal="right" vertical="center"/>
      <protection locked="0"/>
    </xf>
    <xf numFmtId="164" fontId="11" fillId="5" borderId="10" xfId="1" applyNumberFormat="1" applyFont="1" applyFill="1" applyBorder="1" applyAlignment="1" applyProtection="1">
      <alignment horizontal="left" vertical="center"/>
      <protection locked="0"/>
    </xf>
    <xf numFmtId="164" fontId="16" fillId="5" borderId="32" xfId="1" applyNumberFormat="1" applyFont="1" applyFill="1" applyBorder="1" applyAlignment="1" applyProtection="1">
      <alignment horizontal="left" vertical="center"/>
      <protection locked="0"/>
    </xf>
    <xf numFmtId="164" fontId="15" fillId="5" borderId="32" xfId="1" applyNumberFormat="1" applyFont="1" applyFill="1" applyBorder="1" applyAlignment="1" applyProtection="1">
      <alignment horizontal="right" vertical="center"/>
      <protection locked="0"/>
    </xf>
    <xf numFmtId="164" fontId="15" fillId="6" borderId="66" xfId="1" applyNumberFormat="1" applyFont="1" applyFill="1" applyBorder="1" applyAlignment="1" applyProtection="1">
      <alignment horizontal="center" vertical="center"/>
      <protection hidden="1"/>
    </xf>
    <xf numFmtId="164" fontId="15" fillId="6" borderId="10" xfId="1" applyNumberFormat="1" applyFont="1" applyFill="1" applyBorder="1" applyAlignment="1" applyProtection="1">
      <alignment horizontal="center" vertical="center"/>
      <protection hidden="1"/>
    </xf>
    <xf numFmtId="164" fontId="11" fillId="5" borderId="32" xfId="1" applyNumberFormat="1" applyFont="1" applyFill="1" applyBorder="1" applyAlignment="1" applyProtection="1">
      <alignment horizontal="left" vertical="center"/>
      <protection locked="0"/>
    </xf>
    <xf numFmtId="164" fontId="15" fillId="6" borderId="32" xfId="1" applyNumberFormat="1" applyFont="1" applyFill="1" applyBorder="1" applyAlignment="1" applyProtection="1">
      <alignment horizontal="center" vertical="center"/>
      <protection hidden="1"/>
    </xf>
    <xf numFmtId="9" fontId="11" fillId="6" borderId="62" xfId="2" applyFont="1" applyFill="1" applyBorder="1" applyAlignment="1" applyProtection="1">
      <alignment horizontal="center" vertical="center"/>
      <protection hidden="1"/>
    </xf>
    <xf numFmtId="9" fontId="11" fillId="6" borderId="38" xfId="2" applyFont="1" applyFill="1" applyBorder="1" applyAlignment="1" applyProtection="1">
      <alignment horizontal="center" vertical="center"/>
      <protection hidden="1"/>
    </xf>
    <xf numFmtId="164" fontId="15" fillId="34" borderId="24" xfId="1" applyNumberFormat="1" applyFont="1" applyFill="1" applyBorder="1" applyAlignment="1" applyProtection="1">
      <alignment horizontal="right" vertical="center"/>
      <protection hidden="1"/>
    </xf>
    <xf numFmtId="164" fontId="22" fillId="6" borderId="9" xfId="1" applyNumberFormat="1" applyFont="1" applyFill="1" applyBorder="1" applyAlignment="1" applyProtection="1">
      <alignment horizontal="left" vertical="center"/>
      <protection hidden="1"/>
    </xf>
    <xf numFmtId="164" fontId="23" fillId="6" borderId="10" xfId="1" applyNumberFormat="1" applyFont="1" applyFill="1" applyBorder="1" applyAlignment="1" applyProtection="1">
      <alignment horizontal="left" vertical="center"/>
      <protection hidden="1"/>
    </xf>
    <xf numFmtId="164" fontId="8" fillId="21" borderId="41" xfId="1" applyNumberFormat="1" applyFont="1" applyFill="1" applyBorder="1" applyAlignment="1" applyProtection="1">
      <alignment horizontal="right" vertical="center"/>
      <protection hidden="1"/>
    </xf>
    <xf numFmtId="164" fontId="24" fillId="21" borderId="32" xfId="1" applyNumberFormat="1" applyFont="1" applyFill="1" applyBorder="1" applyAlignment="1" applyProtection="1">
      <alignment horizontal="left" vertical="center"/>
      <protection hidden="1"/>
    </xf>
    <xf numFmtId="164" fontId="16" fillId="6" borderId="59" xfId="1" applyNumberFormat="1" applyFont="1" applyFill="1" applyBorder="1" applyAlignment="1" applyProtection="1">
      <alignment horizontal="left" vertical="center"/>
      <protection hidden="1"/>
    </xf>
    <xf numFmtId="164" fontId="11" fillId="6" borderId="59" xfId="1" applyNumberFormat="1" applyFont="1" applyFill="1" applyBorder="1" applyAlignment="1" applyProtection="1">
      <alignment horizontal="left" vertical="center"/>
      <protection hidden="1"/>
    </xf>
    <xf numFmtId="164" fontId="16" fillId="6" borderId="72" xfId="1" applyNumberFormat="1" applyFont="1" applyFill="1" applyBorder="1" applyAlignment="1" applyProtection="1">
      <alignment horizontal="left" vertical="center"/>
      <protection hidden="1"/>
    </xf>
    <xf numFmtId="164" fontId="15" fillId="6" borderId="11" xfId="1" applyNumberFormat="1" applyFont="1" applyFill="1" applyBorder="1" applyAlignment="1" applyProtection="1">
      <alignment horizontal="right" vertical="center"/>
      <protection hidden="1"/>
    </xf>
    <xf numFmtId="164" fontId="15" fillId="6" borderId="78" xfId="1" applyNumberFormat="1" applyFont="1" applyFill="1" applyBorder="1" applyAlignment="1" applyProtection="1">
      <alignment horizontal="right" vertical="center"/>
      <protection hidden="1"/>
    </xf>
    <xf numFmtId="164" fontId="22" fillId="0" borderId="65" xfId="1" applyNumberFormat="1" applyFont="1" applyBorder="1" applyAlignment="1" applyProtection="1">
      <alignment vertical="center"/>
      <protection locked="0"/>
    </xf>
    <xf numFmtId="164" fontId="22" fillId="0" borderId="66" xfId="1" applyNumberFormat="1" applyFont="1" applyBorder="1" applyAlignment="1" applyProtection="1">
      <alignment vertical="center"/>
      <protection locked="0"/>
    </xf>
    <xf numFmtId="43" fontId="15" fillId="6" borderId="7" xfId="1" applyNumberFormat="1" applyFont="1" applyFill="1" applyBorder="1" applyAlignment="1" applyProtection="1">
      <alignment horizontal="right" vertical="center"/>
      <protection hidden="1"/>
    </xf>
    <xf numFmtId="164" fontId="22" fillId="0" borderId="9" xfId="1" applyNumberFormat="1" applyFont="1" applyBorder="1" applyAlignment="1" applyProtection="1">
      <alignment vertical="center"/>
      <protection locked="0"/>
    </xf>
    <xf numFmtId="164" fontId="22" fillId="0" borderId="10" xfId="1" applyNumberFormat="1" applyFont="1" applyBorder="1" applyAlignment="1" applyProtection="1">
      <alignment vertical="center"/>
      <protection locked="0"/>
    </xf>
    <xf numFmtId="43" fontId="15" fillId="6" borderId="10" xfId="1" applyNumberFormat="1" applyFont="1" applyFill="1" applyBorder="1" applyAlignment="1" applyProtection="1">
      <alignment horizontal="right" vertical="center"/>
      <protection hidden="1"/>
    </xf>
    <xf numFmtId="164" fontId="22" fillId="0" borderId="41" xfId="1" applyNumberFormat="1" applyFont="1" applyBorder="1" applyAlignment="1" applyProtection="1">
      <alignment vertical="center"/>
      <protection locked="0"/>
    </xf>
    <xf numFmtId="164" fontId="22" fillId="0" borderId="32" xfId="1" applyNumberFormat="1" applyFont="1" applyBorder="1" applyAlignment="1" applyProtection="1">
      <alignment vertical="center"/>
      <protection locked="0"/>
    </xf>
    <xf numFmtId="43" fontId="15" fillId="6" borderId="32" xfId="1" applyNumberFormat="1" applyFont="1" applyFill="1" applyBorder="1" applyAlignment="1" applyProtection="1">
      <alignment horizontal="right" vertical="center"/>
      <protection hidden="1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164" fontId="8" fillId="21" borderId="26" xfId="1" applyNumberFormat="1" applyFont="1" applyFill="1" applyBorder="1" applyAlignment="1" applyProtection="1">
      <alignment horizontal="right" vertical="center"/>
      <protection hidden="1"/>
    </xf>
    <xf numFmtId="164" fontId="15" fillId="6" borderId="4" xfId="1" applyNumberFormat="1" applyFont="1" applyFill="1" applyBorder="1" applyAlignment="1" applyProtection="1">
      <alignment horizontal="right" vertical="center"/>
      <protection hidden="1"/>
    </xf>
    <xf numFmtId="164" fontId="15" fillId="6" borderId="4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5" xfId="1" applyNumberFormat="1" applyFont="1" applyBorder="1" applyAlignment="1" applyProtection="1">
      <alignment horizontal="center" vertical="center"/>
      <protection locked="0"/>
    </xf>
    <xf numFmtId="175" fontId="22" fillId="0" borderId="4" xfId="1" applyNumberFormat="1" applyFont="1" applyBorder="1" applyAlignment="1" applyProtection="1">
      <alignment horizontal="right" vertical="center" indent="3"/>
      <protection locked="0"/>
    </xf>
    <xf numFmtId="164" fontId="11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15" fillId="6" borderId="4" xfId="1" applyNumberFormat="1" applyFont="1" applyFill="1" applyBorder="1" applyAlignment="1" applyProtection="1">
      <alignment horizontal="center" vertical="center"/>
      <protection hidden="1"/>
    </xf>
    <xf numFmtId="164" fontId="15" fillId="6" borderId="3" xfId="1" applyNumberFormat="1" applyFont="1" applyFill="1" applyBorder="1" applyAlignment="1" applyProtection="1">
      <alignment horizontal="center" vertical="center" wrapText="1"/>
      <protection hidden="1"/>
    </xf>
    <xf numFmtId="164" fontId="22" fillId="0" borderId="79" xfId="1" applyNumberFormat="1" applyFont="1" applyBorder="1" applyAlignment="1" applyProtection="1">
      <alignment vertical="center"/>
      <protection locked="0"/>
    </xf>
    <xf numFmtId="164" fontId="22" fillId="0" borderId="11" xfId="1" applyNumberFormat="1" applyFont="1" applyBorder="1" applyAlignment="1" applyProtection="1">
      <alignment vertical="center"/>
      <protection locked="0"/>
    </xf>
    <xf numFmtId="164" fontId="22" fillId="0" borderId="78" xfId="1" applyNumberFormat="1" applyFont="1" applyBorder="1" applyAlignment="1" applyProtection="1">
      <alignment vertical="center"/>
      <protection locked="0"/>
    </xf>
    <xf numFmtId="174" fontId="22" fillId="0" borderId="11" xfId="1" applyNumberFormat="1" applyFont="1" applyBorder="1" applyAlignment="1" applyProtection="1">
      <alignment vertical="center"/>
      <protection locked="0"/>
    </xf>
    <xf numFmtId="164" fontId="11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12" fillId="3" borderId="52" xfId="0" applyFont="1" applyFill="1" applyBorder="1" applyAlignment="1" applyProtection="1">
      <alignment horizontal="center" vertical="center"/>
      <protection locked="0"/>
    </xf>
    <xf numFmtId="164" fontId="22" fillId="25" borderId="65" xfId="1" applyNumberFormat="1" applyFont="1" applyFill="1" applyBorder="1" applyAlignment="1" applyProtection="1">
      <alignment vertical="center"/>
      <protection locked="0"/>
    </xf>
    <xf numFmtId="164" fontId="22" fillId="25" borderId="9" xfId="1" applyNumberFormat="1" applyFont="1" applyFill="1" applyBorder="1" applyAlignment="1" applyProtection="1">
      <alignment vertical="center"/>
      <protection locked="0"/>
    </xf>
    <xf numFmtId="164" fontId="22" fillId="25" borderId="41" xfId="1" applyNumberFormat="1" applyFont="1" applyFill="1" applyBorder="1" applyAlignment="1" applyProtection="1">
      <alignment vertical="center"/>
      <protection locked="0"/>
    </xf>
    <xf numFmtId="164" fontId="15" fillId="2" borderId="3" xfId="1" applyNumberFormat="1" applyFont="1" applyFill="1" applyBorder="1" applyAlignment="1" applyProtection="1">
      <alignment horizontal="center" vertical="center" wrapText="1"/>
      <protection locked="0"/>
    </xf>
    <xf numFmtId="176" fontId="22" fillId="0" borderId="10" xfId="1" applyNumberFormat="1" applyFont="1" applyBorder="1" applyAlignment="1" applyProtection="1">
      <alignment vertical="center"/>
      <protection locked="0"/>
    </xf>
    <xf numFmtId="164" fontId="22" fillId="25" borderId="80" xfId="1" applyNumberFormat="1" applyFont="1" applyFill="1" applyBorder="1" applyAlignment="1" applyProtection="1">
      <alignment vertical="center"/>
      <protection locked="0"/>
    </xf>
    <xf numFmtId="164" fontId="22" fillId="0" borderId="77" xfId="1" applyNumberFormat="1" applyFont="1" applyBorder="1" applyAlignment="1" applyProtection="1">
      <alignment vertical="center"/>
      <protection locked="0"/>
    </xf>
    <xf numFmtId="43" fontId="15" fillId="6" borderId="68" xfId="1" applyNumberFormat="1" applyFont="1" applyFill="1" applyBorder="1" applyAlignment="1" applyProtection="1">
      <alignment horizontal="right" vertical="center"/>
      <protection hidden="1"/>
    </xf>
    <xf numFmtId="164" fontId="15" fillId="6" borderId="68" xfId="1" applyNumberFormat="1" applyFont="1" applyFill="1" applyBorder="1" applyAlignment="1" applyProtection="1">
      <alignment horizontal="right" vertical="center"/>
      <protection hidden="1"/>
    </xf>
    <xf numFmtId="164" fontId="15" fillId="6" borderId="81" xfId="1" applyNumberFormat="1" applyFont="1" applyFill="1" applyBorder="1" applyAlignment="1" applyProtection="1">
      <alignment horizontal="right" vertical="center"/>
      <protection hidden="1"/>
    </xf>
    <xf numFmtId="164" fontId="22" fillId="0" borderId="6" xfId="1" applyNumberFormat="1" applyFont="1" applyBorder="1" applyAlignment="1" applyProtection="1">
      <alignment vertical="center"/>
      <protection locked="0"/>
    </xf>
    <xf numFmtId="164" fontId="22" fillId="0" borderId="69" xfId="1" applyNumberFormat="1" applyFont="1" applyBorder="1" applyAlignment="1" applyProtection="1">
      <alignment vertical="center"/>
      <protection locked="0"/>
    </xf>
    <xf numFmtId="164" fontId="22" fillId="0" borderId="7" xfId="1" applyNumberFormat="1" applyFont="1" applyBorder="1" applyAlignment="1" applyProtection="1">
      <alignment vertical="center"/>
      <protection locked="0"/>
    </xf>
    <xf numFmtId="164" fontId="15" fillId="6" borderId="20" xfId="1" applyNumberFormat="1" applyFont="1" applyFill="1" applyBorder="1" applyAlignment="1" applyProtection="1">
      <alignment horizontal="right" vertical="center"/>
      <protection hidden="1"/>
    </xf>
    <xf numFmtId="164" fontId="15" fillId="2" borderId="76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31" xfId="1" applyNumberFormat="1" applyFont="1" applyBorder="1" applyAlignment="1" applyProtection="1">
      <alignment horizontal="center" vertical="center"/>
      <protection locked="0"/>
    </xf>
    <xf numFmtId="164" fontId="22" fillId="25" borderId="86" xfId="1" applyNumberFormat="1" applyFont="1" applyFill="1" applyBorder="1" applyAlignment="1" applyProtection="1">
      <alignment vertical="center"/>
      <protection locked="0"/>
    </xf>
    <xf numFmtId="164" fontId="15" fillId="6" borderId="87" xfId="1" applyNumberFormat="1" applyFont="1" applyFill="1" applyBorder="1" applyAlignment="1" applyProtection="1">
      <alignment horizontal="right" vertical="center"/>
      <protection hidden="1"/>
    </xf>
    <xf numFmtId="0" fontId="12" fillId="3" borderId="86" xfId="0" applyFont="1" applyFill="1" applyBorder="1" applyAlignment="1" applyProtection="1">
      <alignment horizontal="center" vertical="center"/>
      <protection locked="0"/>
    </xf>
    <xf numFmtId="164" fontId="22" fillId="0" borderId="86" xfId="1" applyNumberFormat="1" applyFont="1" applyBorder="1" applyAlignment="1" applyProtection="1">
      <alignment vertical="center"/>
      <protection locked="0"/>
    </xf>
    <xf numFmtId="164" fontId="8" fillId="21" borderId="90" xfId="1" applyNumberFormat="1" applyFont="1" applyFill="1" applyBorder="1" applyAlignment="1" applyProtection="1">
      <alignment horizontal="right" vertical="center"/>
      <protection hidden="1"/>
    </xf>
    <xf numFmtId="164" fontId="15" fillId="6" borderId="91" xfId="1" applyNumberFormat="1" applyFont="1" applyFill="1" applyBorder="1" applyAlignment="1" applyProtection="1">
      <alignment horizontal="center" vertical="center" wrapText="1"/>
      <protection hidden="1"/>
    </xf>
    <xf numFmtId="175" fontId="22" fillId="0" borderId="91" xfId="1" applyNumberFormat="1" applyFont="1" applyBorder="1" applyAlignment="1" applyProtection="1">
      <alignment horizontal="center" vertical="center"/>
      <protection locked="0"/>
    </xf>
    <xf numFmtId="164" fontId="15" fillId="6" borderId="91" xfId="1" applyNumberFormat="1" applyFont="1" applyFill="1" applyBorder="1" applyAlignment="1" applyProtection="1">
      <alignment horizontal="center" vertical="center"/>
      <protection hidden="1"/>
    </xf>
    <xf numFmtId="2" fontId="22" fillId="0" borderId="66" xfId="1" applyNumberFormat="1" applyFont="1" applyBorder="1" applyAlignment="1" applyProtection="1">
      <alignment vertical="center"/>
      <protection locked="0"/>
    </xf>
    <xf numFmtId="2" fontId="22" fillId="0" borderId="10" xfId="1" applyNumberFormat="1" applyFont="1" applyBorder="1" applyAlignment="1" applyProtection="1">
      <alignment vertical="center"/>
      <protection locked="0"/>
    </xf>
    <xf numFmtId="2" fontId="22" fillId="0" borderId="32" xfId="1" applyNumberFormat="1" applyFont="1" applyBorder="1" applyAlignment="1" applyProtection="1">
      <alignment vertical="center"/>
      <protection locked="0"/>
    </xf>
    <xf numFmtId="43" fontId="22" fillId="0" borderId="66" xfId="1" applyNumberFormat="1" applyFont="1" applyBorder="1" applyAlignment="1" applyProtection="1">
      <alignment vertical="center"/>
      <protection locked="0"/>
    </xf>
    <xf numFmtId="164" fontId="22" fillId="0" borderId="66" xfId="1" applyNumberFormat="1" applyFont="1" applyBorder="1" applyAlignment="1" applyProtection="1">
      <alignment horizontal="right" vertical="center"/>
      <protection locked="0"/>
    </xf>
    <xf numFmtId="164" fontId="22" fillId="0" borderId="10" xfId="1" applyNumberFormat="1" applyFont="1" applyBorder="1" applyAlignment="1" applyProtection="1">
      <alignment horizontal="right" vertical="center"/>
      <protection locked="0"/>
    </xf>
    <xf numFmtId="0" fontId="39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52" fillId="8" borderId="10" xfId="0" applyNumberFormat="1" applyFont="1" applyFill="1" applyBorder="1" applyAlignment="1">
      <alignment horizontal="center" vertical="center" wrapText="1"/>
    </xf>
    <xf numFmtId="0" fontId="52" fillId="8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left" vertical="center" wrapText="1"/>
    </xf>
    <xf numFmtId="0" fontId="53" fillId="0" borderId="10" xfId="0" applyFont="1" applyBorder="1" applyAlignment="1">
      <alignment horizontal="center" vertical="center" wrapText="1"/>
    </xf>
    <xf numFmtId="0" fontId="0" fillId="8" borderId="25" xfId="0" applyFill="1" applyBorder="1" applyAlignment="1">
      <alignment horizontal="center" vertical="center"/>
    </xf>
    <xf numFmtId="0" fontId="0" fillId="0" borderId="59" xfId="0" applyFont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9" fillId="8" borderId="59" xfId="0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61" fillId="7" borderId="10" xfId="0" applyFont="1" applyFill="1" applyBorder="1" applyAlignment="1">
      <alignment vertical="center" wrapText="1"/>
    </xf>
    <xf numFmtId="0" fontId="61" fillId="7" borderId="10" xfId="0" applyFont="1" applyFill="1" applyBorder="1" applyAlignment="1">
      <alignment vertical="center"/>
    </xf>
    <xf numFmtId="0" fontId="62" fillId="26" borderId="10" xfId="0" applyFont="1" applyFill="1" applyBorder="1" applyAlignment="1">
      <alignment horizontal="left" vertical="center"/>
    </xf>
    <xf numFmtId="0" fontId="62" fillId="26" borderId="10" xfId="0" applyFont="1" applyFill="1" applyBorder="1" applyAlignment="1">
      <alignment horizontal="left" vertical="center" wrapText="1"/>
    </xf>
    <xf numFmtId="0" fontId="63" fillId="7" borderId="10" xfId="0" applyFont="1" applyFill="1" applyBorder="1" applyAlignment="1">
      <alignment horizontal="center" vertical="center"/>
    </xf>
    <xf numFmtId="0" fontId="64" fillId="26" borderId="10" xfId="0" applyFont="1" applyFill="1" applyBorder="1" applyAlignment="1">
      <alignment horizontal="center" vertical="center"/>
    </xf>
    <xf numFmtId="0" fontId="52" fillId="26" borderId="10" xfId="0" applyFont="1" applyFill="1" applyBorder="1" applyAlignment="1">
      <alignment vertical="center"/>
    </xf>
    <xf numFmtId="0" fontId="52" fillId="26" borderId="10" xfId="0" applyFont="1" applyFill="1" applyBorder="1" applyAlignment="1">
      <alignment vertical="center" wrapText="1"/>
    </xf>
    <xf numFmtId="0" fontId="61" fillId="7" borderId="10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 applyProtection="1">
      <alignment horizontal="left" vertical="center"/>
      <protection locked="0"/>
    </xf>
    <xf numFmtId="0" fontId="8" fillId="3" borderId="35" xfId="0" applyFont="1" applyFill="1" applyBorder="1" applyAlignment="1" applyProtection="1">
      <alignment horizontal="left" vertical="center"/>
      <protection locked="0"/>
    </xf>
    <xf numFmtId="172" fontId="15" fillId="0" borderId="0" xfId="1" applyNumberFormat="1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3" fontId="18" fillId="32" borderId="66" xfId="1" applyFont="1" applyFill="1" applyBorder="1" applyAlignment="1" applyProtection="1">
      <alignment horizontal="center" vertical="center"/>
      <protection locked="0"/>
    </xf>
    <xf numFmtId="43" fontId="18" fillId="32" borderId="66" xfId="1" applyNumberFormat="1" applyFont="1" applyFill="1" applyBorder="1" applyAlignment="1" applyProtection="1">
      <alignment horizontal="center" vertical="center"/>
      <protection locked="0"/>
    </xf>
    <xf numFmtId="43" fontId="18" fillId="32" borderId="62" xfId="1" applyNumberFormat="1" applyFont="1" applyFill="1" applyBorder="1" applyAlignment="1" applyProtection="1">
      <alignment horizontal="center" vertical="center"/>
      <protection locked="0"/>
    </xf>
    <xf numFmtId="43" fontId="18" fillId="32" borderId="10" xfId="1" applyFont="1" applyFill="1" applyBorder="1" applyAlignment="1" applyProtection="1">
      <alignment horizontal="center" vertical="center"/>
      <protection locked="0"/>
    </xf>
    <xf numFmtId="164" fontId="18" fillId="32" borderId="10" xfId="1" applyNumberFormat="1" applyFont="1" applyFill="1" applyBorder="1" applyAlignment="1" applyProtection="1">
      <alignment horizontal="center" vertical="center"/>
      <protection locked="0"/>
    </xf>
    <xf numFmtId="164" fontId="18" fillId="32" borderId="25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164" fontId="15" fillId="6" borderId="38" xfId="1" applyNumberFormat="1" applyFont="1" applyFill="1" applyBorder="1" applyAlignment="1" applyProtection="1">
      <alignment horizontal="right" vertical="center"/>
      <protection locked="0" hidden="1"/>
    </xf>
    <xf numFmtId="0" fontId="33" fillId="25" borderId="49" xfId="0" applyFont="1" applyFill="1" applyBorder="1" applyAlignment="1" applyProtection="1">
      <alignment horizontal="center" vertical="center" wrapText="1"/>
      <protection locked="0"/>
    </xf>
    <xf numFmtId="0" fontId="33" fillId="25" borderId="17" xfId="0" applyFont="1" applyFill="1" applyBorder="1" applyAlignment="1" applyProtection="1">
      <alignment horizontal="center" vertical="center" wrapText="1"/>
      <protection locked="0"/>
    </xf>
    <xf numFmtId="0" fontId="33" fillId="25" borderId="50" xfId="0" applyFont="1" applyFill="1" applyBorder="1" applyAlignment="1" applyProtection="1">
      <alignment horizontal="center" vertical="center" wrapText="1"/>
      <protection locked="0"/>
    </xf>
    <xf numFmtId="0" fontId="6" fillId="25" borderId="27" xfId="0" applyFont="1" applyFill="1" applyBorder="1" applyAlignment="1" applyProtection="1">
      <alignment horizontal="center" vertical="center" wrapText="1"/>
      <protection locked="0"/>
    </xf>
    <xf numFmtId="0" fontId="6" fillId="25" borderId="0" xfId="0" applyFont="1" applyFill="1" applyBorder="1" applyAlignment="1" applyProtection="1">
      <alignment horizontal="center" vertical="center" wrapText="1"/>
      <protection locked="0"/>
    </xf>
    <xf numFmtId="0" fontId="6" fillId="25" borderId="28" xfId="0" applyFont="1" applyFill="1" applyBorder="1" applyAlignment="1" applyProtection="1">
      <alignment horizontal="center" vertical="center" wrapText="1"/>
      <protection locked="0"/>
    </xf>
    <xf numFmtId="0" fontId="6" fillId="25" borderId="29" xfId="0" applyFont="1" applyFill="1" applyBorder="1" applyAlignment="1" applyProtection="1">
      <alignment horizontal="center" vertical="center" wrapText="1"/>
      <protection locked="0"/>
    </xf>
    <xf numFmtId="0" fontId="6" fillId="25" borderId="60" xfId="0" applyFont="1" applyFill="1" applyBorder="1" applyAlignment="1" applyProtection="1">
      <alignment horizontal="center" vertical="center" wrapText="1"/>
      <protection locked="0"/>
    </xf>
    <xf numFmtId="0" fontId="6" fillId="25" borderId="30" xfId="0" applyFont="1" applyFill="1" applyBorder="1" applyAlignment="1" applyProtection="1">
      <alignment horizontal="center" vertical="center" wrapText="1"/>
      <protection locked="0"/>
    </xf>
    <xf numFmtId="164" fontId="15" fillId="2" borderId="10" xfId="1" applyNumberFormat="1" applyFont="1" applyFill="1" applyBorder="1" applyAlignment="1" applyProtection="1">
      <alignment horizontal="right" vertical="center"/>
      <protection locked="0" hidden="1"/>
    </xf>
    <xf numFmtId="164" fontId="15" fillId="33" borderId="25" xfId="1" applyNumberFormat="1" applyFont="1" applyFill="1" applyBorder="1" applyAlignment="1" applyProtection="1">
      <alignment horizontal="right" vertical="center"/>
      <protection locked="0" hidden="1"/>
    </xf>
    <xf numFmtId="164" fontId="15" fillId="6" borderId="25" xfId="1" applyNumberFormat="1" applyFont="1" applyFill="1" applyBorder="1" applyAlignment="1" applyProtection="1">
      <alignment horizontal="right" vertical="center"/>
      <protection locked="0" hidden="1"/>
    </xf>
    <xf numFmtId="1" fontId="50" fillId="0" borderId="0" xfId="0" applyNumberFormat="1" applyFont="1" applyAlignment="1" applyProtection="1">
      <alignment horizontal="left" vertical="center"/>
      <protection locked="0"/>
    </xf>
    <xf numFmtId="1" fontId="47" fillId="0" borderId="0" xfId="0" applyNumberFormat="1" applyFont="1" applyAlignment="1" applyProtection="1">
      <alignment vertical="center"/>
      <protection locked="0"/>
    </xf>
    <xf numFmtId="1" fontId="51" fillId="0" borderId="0" xfId="0" applyNumberFormat="1" applyFont="1" applyAlignment="1" applyProtection="1">
      <alignment vertical="center"/>
      <protection locked="0"/>
    </xf>
    <xf numFmtId="0" fontId="37" fillId="0" borderId="0" xfId="0" applyFont="1" applyAlignment="1" applyProtection="1">
      <alignment vertical="center"/>
      <protection locked="0"/>
    </xf>
    <xf numFmtId="0" fontId="27" fillId="21" borderId="22" xfId="0" applyFont="1" applyFill="1" applyBorder="1" applyAlignment="1" applyProtection="1">
      <alignment horizontal="center" vertical="center" wrapText="1"/>
    </xf>
    <xf numFmtId="0" fontId="27" fillId="21" borderId="92" xfId="0" applyFont="1" applyFill="1" applyBorder="1" applyAlignment="1" applyProtection="1">
      <alignment horizontal="center" vertical="center"/>
    </xf>
    <xf numFmtId="0" fontId="12" fillId="3" borderId="27" xfId="0" applyFont="1" applyFill="1" applyBorder="1" applyAlignment="1" applyProtection="1">
      <alignment horizontal="center" vertical="center" wrapText="1"/>
    </xf>
    <xf numFmtId="0" fontId="8" fillId="3" borderId="55" xfId="0" applyFont="1" applyFill="1" applyBorder="1" applyAlignment="1" applyProtection="1">
      <alignment horizontal="center" vertical="center"/>
    </xf>
    <xf numFmtId="0" fontId="8" fillId="3" borderId="51" xfId="0" applyFont="1" applyFill="1" applyBorder="1" applyAlignment="1" applyProtection="1">
      <alignment horizontal="center" vertical="center"/>
    </xf>
    <xf numFmtId="0" fontId="8" fillId="3" borderId="71" xfId="0" applyFont="1" applyFill="1" applyBorder="1" applyAlignment="1" applyProtection="1">
      <alignment horizontal="center" vertical="center"/>
    </xf>
    <xf numFmtId="164" fontId="43" fillId="6" borderId="25" xfId="1" applyNumberFormat="1" applyFont="1" applyFill="1" applyBorder="1" applyAlignment="1" applyProtection="1">
      <alignment horizontal="center" vertical="center"/>
    </xf>
    <xf numFmtId="0" fontId="42" fillId="24" borderId="16" xfId="0" applyFont="1" applyFill="1" applyBorder="1" applyAlignment="1" applyProtection="1">
      <alignment horizontal="left" vertical="center" wrapText="1"/>
    </xf>
    <xf numFmtId="0" fontId="8" fillId="3" borderId="35" xfId="0" applyFont="1" applyFill="1" applyBorder="1" applyAlignment="1" applyProtection="1">
      <alignment horizontal="left" vertical="center"/>
    </xf>
    <xf numFmtId="0" fontId="27" fillId="21" borderId="1" xfId="0" applyFont="1" applyFill="1" applyBorder="1" applyAlignment="1" applyProtection="1">
      <alignment horizontal="center" vertical="center"/>
    </xf>
    <xf numFmtId="0" fontId="27" fillId="21" borderId="20" xfId="0" applyFont="1" applyFill="1" applyBorder="1" applyAlignment="1" applyProtection="1">
      <alignment horizontal="center" vertical="center"/>
    </xf>
    <xf numFmtId="0" fontId="33" fillId="25" borderId="27" xfId="0" applyFont="1" applyFill="1" applyBorder="1" applyAlignment="1" applyProtection="1">
      <alignment horizontal="center" vertical="center" wrapText="1"/>
    </xf>
    <xf numFmtId="172" fontId="34" fillId="25" borderId="25" xfId="1" applyNumberFormat="1" applyFont="1" applyFill="1" applyBorder="1" applyAlignment="1" applyProtection="1">
      <alignment vertical="center"/>
    </xf>
    <xf numFmtId="0" fontId="33" fillId="25" borderId="72" xfId="0" applyFont="1" applyFill="1" applyBorder="1" applyAlignment="1" applyProtection="1">
      <alignment horizontal="center" vertical="center" wrapText="1"/>
    </xf>
    <xf numFmtId="0" fontId="33" fillId="25" borderId="70" xfId="0" applyFont="1" applyFill="1" applyBorder="1" applyAlignment="1" applyProtection="1">
      <alignment horizontal="center" vertical="center" wrapText="1"/>
    </xf>
    <xf numFmtId="0" fontId="33" fillId="25" borderId="67" xfId="0" applyFont="1" applyFill="1" applyBorder="1" applyAlignment="1" applyProtection="1">
      <alignment horizontal="center" vertical="center" wrapText="1"/>
    </xf>
    <xf numFmtId="0" fontId="33" fillId="25" borderId="16" xfId="0" applyFont="1" applyFill="1" applyBorder="1" applyAlignment="1" applyProtection="1">
      <alignment horizontal="center" vertical="center" wrapText="1"/>
    </xf>
    <xf numFmtId="0" fontId="33" fillId="25" borderId="17" xfId="0" applyFont="1" applyFill="1" applyBorder="1" applyAlignment="1" applyProtection="1">
      <alignment horizontal="center" vertical="center" wrapText="1"/>
    </xf>
    <xf numFmtId="0" fontId="33" fillId="25" borderId="50" xfId="0" applyFont="1" applyFill="1" applyBorder="1" applyAlignment="1" applyProtection="1">
      <alignment horizontal="center" vertical="center" wrapText="1"/>
    </xf>
    <xf numFmtId="0" fontId="33" fillId="25" borderId="0" xfId="0" applyFont="1" applyFill="1" applyBorder="1" applyAlignment="1" applyProtection="1">
      <alignment horizontal="center" vertical="center" wrapText="1"/>
    </xf>
    <xf numFmtId="0" fontId="33" fillId="25" borderId="28" xfId="0" applyFont="1" applyFill="1" applyBorder="1" applyAlignment="1" applyProtection="1">
      <alignment horizontal="center" vertical="center" wrapText="1"/>
    </xf>
    <xf numFmtId="0" fontId="33" fillId="25" borderId="63" xfId="0" applyFont="1" applyFill="1" applyBorder="1" applyAlignment="1" applyProtection="1">
      <alignment horizontal="center" vertical="center" wrapText="1"/>
    </xf>
    <xf numFmtId="0" fontId="33" fillId="25" borderId="40" xfId="0" applyFont="1" applyFill="1" applyBorder="1" applyAlignment="1" applyProtection="1">
      <alignment horizontal="center" vertical="center" wrapText="1"/>
    </xf>
    <xf numFmtId="0" fontId="33" fillId="25" borderId="36" xfId="0" applyFont="1" applyFill="1" applyBorder="1" applyAlignment="1" applyProtection="1">
      <alignment horizontal="center" vertical="center" wrapText="1"/>
    </xf>
    <xf numFmtId="0" fontId="42" fillId="24" borderId="63" xfId="0" applyFont="1" applyFill="1" applyBorder="1" applyAlignment="1" applyProtection="1">
      <alignment horizontal="left" vertical="center" wrapText="1"/>
    </xf>
    <xf numFmtId="0" fontId="24" fillId="21" borderId="73" xfId="0" applyFont="1" applyFill="1" applyBorder="1" applyAlignment="1" applyProtection="1">
      <alignment horizontal="center" vertical="center"/>
    </xf>
    <xf numFmtId="0" fontId="8" fillId="21" borderId="74" xfId="0" applyFont="1" applyFill="1" applyBorder="1" applyAlignment="1" applyProtection="1">
      <alignment horizontal="center" vertical="center" wrapText="1"/>
    </xf>
    <xf numFmtId="0" fontId="8" fillId="21" borderId="74" xfId="0" applyFont="1" applyFill="1" applyBorder="1" applyAlignment="1" applyProtection="1">
      <alignment horizontal="center" vertical="center"/>
    </xf>
    <xf numFmtId="0" fontId="8" fillId="21" borderId="75" xfId="0" applyFont="1" applyFill="1" applyBorder="1" applyAlignment="1" applyProtection="1">
      <alignment horizontal="center" vertical="center"/>
    </xf>
    <xf numFmtId="172" fontId="15" fillId="6" borderId="10" xfId="1" applyNumberFormat="1" applyFont="1" applyFill="1" applyBorder="1" applyAlignment="1" applyProtection="1">
      <alignment vertical="center"/>
    </xf>
    <xf numFmtId="173" fontId="8" fillId="3" borderId="59" xfId="0" applyNumberFormat="1" applyFont="1" applyFill="1" applyBorder="1" applyAlignment="1" applyProtection="1">
      <alignment vertical="center"/>
    </xf>
    <xf numFmtId="173" fontId="8" fillId="3" borderId="24" xfId="0" applyNumberFormat="1" applyFont="1" applyFill="1" applyBorder="1" applyAlignment="1" applyProtection="1">
      <alignment vertical="center"/>
    </xf>
    <xf numFmtId="172" fontId="8" fillId="3" borderId="68" xfId="1" applyNumberFormat="1" applyFont="1" applyFill="1" applyBorder="1" applyAlignment="1" applyProtection="1">
      <alignment vertical="center"/>
    </xf>
    <xf numFmtId="0" fontId="24" fillId="21" borderId="19" xfId="0" applyFont="1" applyFill="1" applyBorder="1" applyAlignment="1" applyProtection="1">
      <alignment horizontal="center" vertical="center"/>
    </xf>
    <xf numFmtId="172" fontId="8" fillId="3" borderId="66" xfId="1" applyNumberFormat="1" applyFont="1" applyFill="1" applyBorder="1" applyAlignment="1" applyProtection="1">
      <alignment horizontal="center" vertical="center"/>
    </xf>
    <xf numFmtId="172" fontId="8" fillId="3" borderId="66" xfId="1" applyNumberFormat="1" applyFont="1" applyFill="1" applyBorder="1" applyAlignment="1" applyProtection="1">
      <alignment horizontal="center" vertical="center" wrapText="1"/>
    </xf>
    <xf numFmtId="172" fontId="8" fillId="3" borderId="62" xfId="1" applyNumberFormat="1" applyFont="1" applyFill="1" applyBorder="1" applyAlignment="1" applyProtection="1">
      <alignment horizontal="center" vertical="center"/>
    </xf>
    <xf numFmtId="164" fontId="15" fillId="6" borderId="10" xfId="1" applyNumberFormat="1" applyFont="1" applyFill="1" applyBorder="1" applyAlignment="1" applyProtection="1">
      <alignment horizontal="right" vertical="center"/>
    </xf>
    <xf numFmtId="164" fontId="15" fillId="6" borderId="32" xfId="1" applyNumberFormat="1" applyFont="1" applyFill="1" applyBorder="1" applyAlignment="1" applyProtection="1">
      <alignment horizontal="right" vertical="center"/>
    </xf>
    <xf numFmtId="0" fontId="8" fillId="3" borderId="65" xfId="0" applyFont="1" applyFill="1" applyBorder="1" applyAlignment="1" applyProtection="1">
      <alignment horizontal="left" vertical="center"/>
    </xf>
    <xf numFmtId="0" fontId="8" fillId="3" borderId="9" xfId="0" applyFont="1" applyFill="1" applyBorder="1" applyAlignment="1" applyProtection="1">
      <alignment horizontal="left" vertical="center"/>
    </xf>
    <xf numFmtId="0" fontId="8" fillId="3" borderId="41" xfId="0" applyFont="1" applyFill="1" applyBorder="1" applyAlignment="1" applyProtection="1">
      <alignment horizontal="left" vertical="center"/>
    </xf>
    <xf numFmtId="9" fontId="6" fillId="6" borderId="62" xfId="2" applyFont="1" applyFill="1" applyBorder="1" applyAlignment="1" applyProtection="1">
      <alignment horizontal="center" vertical="center"/>
    </xf>
    <xf numFmtId="0" fontId="6" fillId="6" borderId="25" xfId="0" quotePrefix="1" applyFont="1" applyFill="1" applyBorder="1" applyAlignment="1" applyProtection="1">
      <alignment horizontal="center" vertical="center"/>
    </xf>
    <xf numFmtId="9" fontId="6" fillId="6" borderId="25" xfId="2" applyFont="1" applyFill="1" applyBorder="1" applyAlignment="1" applyProtection="1">
      <alignment horizontal="center" vertical="center"/>
    </xf>
    <xf numFmtId="9" fontId="6" fillId="23" borderId="26" xfId="2" applyFont="1" applyFill="1" applyBorder="1" applyAlignment="1" applyProtection="1">
      <alignment horizontal="center" vertical="center"/>
    </xf>
    <xf numFmtId="0" fontId="24" fillId="21" borderId="22" xfId="0" applyFont="1" applyFill="1" applyBorder="1" applyAlignment="1" applyProtection="1">
      <alignment vertical="center"/>
    </xf>
    <xf numFmtId="9" fontId="6" fillId="21" borderId="26" xfId="2" applyFont="1" applyFill="1" applyBorder="1" applyAlignment="1" applyProtection="1">
      <alignment horizontal="center" vertical="center"/>
    </xf>
    <xf numFmtId="43" fontId="18" fillId="32" borderId="10" xfId="1" applyNumberFormat="1" applyFont="1" applyFill="1" applyBorder="1" applyAlignment="1" applyProtection="1">
      <alignment horizontal="center" vertical="center"/>
      <protection locked="0"/>
    </xf>
    <xf numFmtId="43" fontId="18" fillId="32" borderId="68" xfId="1" applyFont="1" applyFill="1" applyBorder="1" applyAlignment="1" applyProtection="1">
      <alignment horizontal="center" vertical="center"/>
      <protection locked="0"/>
    </xf>
    <xf numFmtId="164" fontId="18" fillId="32" borderId="68" xfId="1" applyNumberFormat="1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left" vertical="center"/>
    </xf>
    <xf numFmtId="0" fontId="8" fillId="3" borderId="38" xfId="0" applyFont="1" applyFill="1" applyBorder="1" applyAlignment="1" applyProtection="1">
      <alignment horizontal="center" vertical="center"/>
    </xf>
    <xf numFmtId="0" fontId="8" fillId="3" borderId="63" xfId="0" applyFont="1" applyFill="1" applyBorder="1" applyAlignment="1" applyProtection="1">
      <alignment horizontal="left" vertical="center"/>
    </xf>
    <xf numFmtId="0" fontId="8" fillId="3" borderId="67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63" xfId="0" applyFont="1" applyFill="1" applyBorder="1" applyAlignment="1" applyProtection="1">
      <alignment horizontal="center" vertical="center"/>
    </xf>
    <xf numFmtId="0" fontId="8" fillId="3" borderId="70" xfId="0" applyFont="1" applyFill="1" applyBorder="1" applyAlignment="1" applyProtection="1">
      <alignment horizontal="center" vertical="center"/>
    </xf>
    <xf numFmtId="164" fontId="15" fillId="6" borderId="62" xfId="1" applyNumberFormat="1" applyFont="1" applyFill="1" applyBorder="1" applyAlignment="1" applyProtection="1">
      <alignment horizontal="right" vertical="center"/>
    </xf>
    <xf numFmtId="164" fontId="15" fillId="6" borderId="25" xfId="1" applyNumberFormat="1" applyFont="1" applyFill="1" applyBorder="1" applyAlignment="1" applyProtection="1">
      <alignment horizontal="right" vertical="center"/>
    </xf>
    <xf numFmtId="0" fontId="8" fillId="3" borderId="14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</xf>
    <xf numFmtId="172" fontId="6" fillId="0" borderId="66" xfId="1" applyNumberFormat="1" applyFont="1" applyFill="1" applyBorder="1" applyAlignment="1" applyProtection="1">
      <alignment vertical="center"/>
      <protection locked="0"/>
    </xf>
    <xf numFmtId="43" fontId="20" fillId="32" borderId="62" xfId="1" applyFont="1" applyFill="1" applyBorder="1" applyAlignment="1" applyProtection="1">
      <alignment horizontal="center" vertical="center"/>
      <protection locked="0"/>
    </xf>
    <xf numFmtId="43" fontId="20" fillId="32" borderId="65" xfId="1" applyNumberFormat="1" applyFont="1" applyFill="1" applyBorder="1" applyAlignment="1" applyProtection="1">
      <alignment horizontal="center" vertical="center"/>
      <protection locked="0"/>
    </xf>
    <xf numFmtId="43" fontId="20" fillId="32" borderId="66" xfId="1" applyNumberFormat="1" applyFont="1" applyFill="1" applyBorder="1" applyAlignment="1" applyProtection="1">
      <alignment horizontal="center" vertical="center"/>
      <protection locked="0"/>
    </xf>
    <xf numFmtId="43" fontId="20" fillId="32" borderId="62" xfId="1" applyNumberFormat="1" applyFont="1" applyFill="1" applyBorder="1" applyAlignment="1" applyProtection="1">
      <alignment horizontal="center" vertical="center"/>
      <protection locked="0"/>
    </xf>
    <xf numFmtId="43" fontId="20" fillId="32" borderId="25" xfId="1" applyFont="1" applyFill="1" applyBorder="1" applyAlignment="1" applyProtection="1">
      <alignment horizontal="center" vertical="center"/>
      <protection locked="0"/>
    </xf>
    <xf numFmtId="164" fontId="20" fillId="32" borderId="9" xfId="1" applyNumberFormat="1" applyFont="1" applyFill="1" applyBorder="1" applyAlignment="1" applyProtection="1">
      <alignment horizontal="center" vertical="center"/>
      <protection locked="0"/>
    </xf>
    <xf numFmtId="164" fontId="20" fillId="32" borderId="10" xfId="1" applyNumberFormat="1" applyFont="1" applyFill="1" applyBorder="1" applyAlignment="1" applyProtection="1">
      <alignment horizontal="center" vertical="center"/>
      <protection locked="0"/>
    </xf>
    <xf numFmtId="164" fontId="20" fillId="32" borderId="25" xfId="1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72" fontId="6" fillId="0" borderId="9" xfId="1" applyNumberFormat="1" applyFont="1" applyFill="1" applyBorder="1" applyAlignment="1" applyProtection="1">
      <alignment vertical="center"/>
      <protection locked="0"/>
    </xf>
    <xf numFmtId="172" fontId="6" fillId="0" borderId="10" xfId="1" applyNumberFormat="1" applyFont="1" applyFill="1" applyBorder="1" applyAlignment="1" applyProtection="1">
      <alignment vertical="center"/>
      <protection locked="0"/>
    </xf>
    <xf numFmtId="172" fontId="6" fillId="0" borderId="10" xfId="1" applyNumberFormat="1" applyFont="1" applyFill="1" applyBorder="1" applyAlignment="1" applyProtection="1">
      <alignment horizontal="center" vertical="center"/>
      <protection locked="0"/>
    </xf>
    <xf numFmtId="172" fontId="6" fillId="33" borderId="25" xfId="1" applyNumberFormat="1" applyFont="1" applyFill="1" applyBorder="1" applyAlignment="1" applyProtection="1">
      <alignment vertical="center"/>
      <protection locked="0"/>
    </xf>
    <xf numFmtId="172" fontId="6" fillId="0" borderId="65" xfId="1" applyNumberFormat="1" applyFont="1" applyFill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172" fontId="6" fillId="0" borderId="41" xfId="1" applyNumberFormat="1" applyFont="1" applyFill="1" applyBorder="1" applyAlignment="1" applyProtection="1">
      <alignment vertical="center"/>
      <protection locked="0"/>
    </xf>
    <xf numFmtId="172" fontId="6" fillId="0" borderId="32" xfId="1" applyNumberFormat="1" applyFont="1" applyFill="1" applyBorder="1" applyAlignment="1" applyProtection="1">
      <alignment vertical="center"/>
      <protection locked="0"/>
    </xf>
    <xf numFmtId="172" fontId="6" fillId="0" borderId="32" xfId="1" applyNumberFormat="1" applyFont="1" applyFill="1" applyBorder="1" applyAlignment="1" applyProtection="1">
      <alignment horizontal="center" vertical="center"/>
      <protection locked="0"/>
    </xf>
    <xf numFmtId="172" fontId="6" fillId="33" borderId="26" xfId="1" applyNumberFormat="1" applyFont="1" applyFill="1" applyBorder="1" applyAlignment="1" applyProtection="1">
      <alignment vertical="center"/>
      <protection locked="0"/>
    </xf>
    <xf numFmtId="164" fontId="15" fillId="2" borderId="66" xfId="1" applyNumberFormat="1" applyFont="1" applyFill="1" applyBorder="1" applyAlignment="1" applyProtection="1">
      <alignment horizontal="center" vertical="center"/>
      <protection locked="0" hidden="1"/>
    </xf>
    <xf numFmtId="164" fontId="11" fillId="0" borderId="28" xfId="1" applyNumberFormat="1" applyFont="1" applyFill="1" applyBorder="1" applyAlignment="1" applyProtection="1">
      <alignment horizontal="left" vertical="center"/>
      <protection locked="0" hidden="1"/>
    </xf>
    <xf numFmtId="9" fontId="15" fillId="2" borderId="7" xfId="2" applyFont="1" applyFill="1" applyBorder="1" applyAlignment="1" applyProtection="1">
      <alignment horizontal="right" vertical="center"/>
      <protection locked="0" hidden="1"/>
    </xf>
    <xf numFmtId="164" fontId="15" fillId="6" borderId="7" xfId="1" applyNumberFormat="1" applyFont="1" applyFill="1" applyBorder="1" applyAlignment="1" applyProtection="1">
      <alignment horizontal="right" vertical="center"/>
      <protection locked="0" hidden="1"/>
    </xf>
    <xf numFmtId="0" fontId="14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3" fontId="19" fillId="2" borderId="0" xfId="0" applyNumberFormat="1" applyFont="1" applyFill="1" applyAlignment="1" applyProtection="1">
      <alignment vertical="center"/>
      <protection locked="0"/>
    </xf>
    <xf numFmtId="3" fontId="38" fillId="33" borderId="10" xfId="0" applyNumberFormat="1" applyFont="1" applyFill="1" applyBorder="1" applyAlignment="1" applyProtection="1">
      <alignment vertical="center"/>
      <protection locked="0"/>
    </xf>
    <xf numFmtId="172" fontId="28" fillId="0" borderId="0" xfId="1" applyNumberFormat="1" applyFont="1" applyBorder="1" applyAlignment="1" applyProtection="1">
      <alignment horizontal="center" vertical="center"/>
      <protection locked="0"/>
    </xf>
    <xf numFmtId="0" fontId="26" fillId="8" borderId="1" xfId="0" applyFont="1" applyFill="1" applyBorder="1" applyAlignment="1" applyProtection="1">
      <alignment horizontal="center" vertical="center"/>
      <protection locked="0"/>
    </xf>
    <xf numFmtId="164" fontId="15" fillId="6" borderId="3" xfId="1" applyNumberFormat="1" applyFont="1" applyFill="1" applyBorder="1" applyAlignment="1" applyProtection="1">
      <alignment horizontal="center" vertical="center" wrapText="1"/>
      <protection locked="0" hidden="1"/>
    </xf>
    <xf numFmtId="164" fontId="15" fillId="6" borderId="4" xfId="1" applyNumberFormat="1" applyFont="1" applyFill="1" applyBorder="1" applyAlignment="1" applyProtection="1">
      <alignment horizontal="right" vertical="center"/>
      <protection locked="0" hidden="1"/>
    </xf>
    <xf numFmtId="43" fontId="15" fillId="6" borderId="7" xfId="1" applyNumberFormat="1" applyFont="1" applyFill="1" applyBorder="1" applyAlignment="1" applyProtection="1">
      <alignment horizontal="right" vertical="center"/>
      <protection locked="0" hidden="1"/>
    </xf>
    <xf numFmtId="43" fontId="15" fillId="6" borderId="10" xfId="1" applyNumberFormat="1" applyFont="1" applyFill="1" applyBorder="1" applyAlignment="1" applyProtection="1">
      <alignment horizontal="right" vertical="center"/>
      <protection locked="0" hidden="1"/>
    </xf>
    <xf numFmtId="164" fontId="15" fillId="6" borderId="10" xfId="1" applyNumberFormat="1" applyFont="1" applyFill="1" applyBorder="1" applyAlignment="1" applyProtection="1">
      <alignment horizontal="right" vertical="center"/>
      <protection locked="0" hidden="1"/>
    </xf>
    <xf numFmtId="43" fontId="15" fillId="6" borderId="68" xfId="1" applyNumberFormat="1" applyFont="1" applyFill="1" applyBorder="1" applyAlignment="1" applyProtection="1">
      <alignment horizontal="right" vertical="center"/>
      <protection locked="0" hidden="1"/>
    </xf>
    <xf numFmtId="164" fontId="15" fillId="6" borderId="68" xfId="1" applyNumberFormat="1" applyFont="1" applyFill="1" applyBorder="1" applyAlignment="1" applyProtection="1">
      <alignment horizontal="right" vertical="center"/>
      <protection locked="0" hidden="1"/>
    </xf>
    <xf numFmtId="164" fontId="15" fillId="6" borderId="81" xfId="1" applyNumberFormat="1" applyFont="1" applyFill="1" applyBorder="1" applyAlignment="1" applyProtection="1">
      <alignment horizontal="right" vertical="center"/>
      <protection locked="0" hidden="1"/>
    </xf>
    <xf numFmtId="164" fontId="15" fillId="6" borderId="26" xfId="1" applyNumberFormat="1" applyFont="1" applyFill="1" applyBorder="1" applyAlignment="1" applyProtection="1">
      <alignment horizontal="right" vertical="center"/>
      <protection locked="0" hidden="1"/>
    </xf>
    <xf numFmtId="164" fontId="8" fillId="21" borderId="13" xfId="1" applyNumberFormat="1" applyFont="1" applyFill="1" applyBorder="1" applyAlignment="1" applyProtection="1">
      <alignment horizontal="right" vertical="center"/>
      <protection locked="0" hidden="1"/>
    </xf>
    <xf numFmtId="164" fontId="8" fillId="21" borderId="90" xfId="1" applyNumberFormat="1" applyFont="1" applyFill="1" applyBorder="1" applyAlignment="1" applyProtection="1">
      <alignment horizontal="right" vertical="center"/>
      <protection locked="0" hidden="1"/>
    </xf>
    <xf numFmtId="0" fontId="26" fillId="4" borderId="1" xfId="0" applyFont="1" applyFill="1" applyBorder="1" applyAlignment="1" applyProtection="1">
      <alignment horizontal="center" vertical="center"/>
      <protection locked="0"/>
    </xf>
    <xf numFmtId="164" fontId="15" fillId="2" borderId="7" xfId="1" applyNumberFormat="1" applyFont="1" applyFill="1" applyBorder="1" applyAlignment="1" applyProtection="1">
      <alignment horizontal="right" vertical="center"/>
      <protection locked="0" hidden="1"/>
    </xf>
    <xf numFmtId="164" fontId="15" fillId="2" borderId="32" xfId="1" applyNumberFormat="1" applyFont="1" applyFill="1" applyBorder="1" applyAlignment="1" applyProtection="1">
      <alignment horizontal="right" vertical="center"/>
      <protection locked="0" hidden="1"/>
    </xf>
    <xf numFmtId="0" fontId="26" fillId="26" borderId="1" xfId="0" applyFont="1" applyFill="1" applyBorder="1" applyAlignment="1" applyProtection="1">
      <alignment horizontal="center" vertical="center"/>
      <protection locked="0"/>
    </xf>
    <xf numFmtId="0" fontId="26" fillId="27" borderId="1" xfId="0" applyFont="1" applyFill="1" applyBorder="1" applyAlignment="1" applyProtection="1">
      <alignment horizontal="center" vertical="center"/>
      <protection locked="0"/>
    </xf>
    <xf numFmtId="0" fontId="26" fillId="9" borderId="1" xfId="0" applyFont="1" applyFill="1" applyBorder="1" applyAlignment="1" applyProtection="1">
      <alignment horizontal="center" vertical="center"/>
      <protection locked="0"/>
    </xf>
    <xf numFmtId="0" fontId="26" fillId="28" borderId="1" xfId="0" applyFont="1" applyFill="1" applyBorder="1" applyAlignment="1" applyProtection="1">
      <alignment horizontal="center" vertical="center"/>
      <protection locked="0"/>
    </xf>
    <xf numFmtId="0" fontId="18" fillId="23" borderId="1" xfId="0" applyFont="1" applyFill="1" applyBorder="1" applyAlignment="1" applyProtection="1">
      <alignment horizontal="center" vertical="center"/>
      <protection locked="0"/>
    </xf>
    <xf numFmtId="0" fontId="18" fillId="23" borderId="19" xfId="0" applyFont="1" applyFill="1" applyBorder="1" applyAlignment="1" applyProtection="1">
      <alignment horizontal="center" vertical="center"/>
      <protection locked="0"/>
    </xf>
    <xf numFmtId="166" fontId="56" fillId="5" borderId="27" xfId="0" applyNumberFormat="1" applyFont="1" applyFill="1" applyBorder="1" applyAlignment="1" applyProtection="1">
      <alignment vertical="center"/>
      <protection locked="0" hidden="1"/>
    </xf>
    <xf numFmtId="166" fontId="56" fillId="5" borderId="0" xfId="0" applyNumberFormat="1" applyFont="1" applyFill="1" applyBorder="1" applyAlignment="1" applyProtection="1">
      <alignment vertical="center"/>
      <protection locked="0" hidden="1"/>
    </xf>
    <xf numFmtId="1" fontId="58" fillId="0" borderId="0" xfId="0" applyNumberFormat="1" applyFont="1" applyAlignment="1" applyProtection="1">
      <alignment horizontal="left" vertical="center"/>
      <protection locked="0"/>
    </xf>
    <xf numFmtId="1" fontId="47" fillId="0" borderId="0" xfId="0" applyNumberFormat="1" applyFont="1" applyAlignment="1" applyProtection="1">
      <alignment horizontal="left" vertical="center"/>
      <protection locked="0"/>
    </xf>
    <xf numFmtId="0" fontId="37" fillId="0" borderId="0" xfId="0" applyFont="1" applyAlignment="1" applyProtection="1">
      <alignment horizontal="left" vertical="center"/>
      <protection locked="0"/>
    </xf>
    <xf numFmtId="0" fontId="38" fillId="0" borderId="0" xfId="0" applyFont="1" applyAlignment="1" applyProtection="1">
      <alignment vertical="center"/>
      <protection locked="0"/>
    </xf>
    <xf numFmtId="14" fontId="15" fillId="0" borderId="0" xfId="0" applyNumberFormat="1" applyFont="1" applyAlignment="1" applyProtection="1">
      <alignment vertical="center"/>
      <protection locked="0"/>
    </xf>
    <xf numFmtId="17" fontId="15" fillId="0" borderId="0" xfId="0" applyNumberFormat="1" applyFont="1" applyAlignment="1" applyProtection="1">
      <alignment horizontal="center" vertical="center"/>
      <protection locked="0"/>
    </xf>
    <xf numFmtId="14" fontId="18" fillId="0" borderId="0" xfId="0" applyNumberFormat="1" applyFont="1" applyAlignment="1" applyProtection="1">
      <alignment vertical="center"/>
      <protection locked="0"/>
    </xf>
    <xf numFmtId="0" fontId="18" fillId="8" borderId="0" xfId="0" applyFont="1" applyFill="1" applyAlignment="1" applyProtection="1">
      <alignment horizontal="center" vertical="center"/>
      <protection locked="0"/>
    </xf>
    <xf numFmtId="172" fontId="18" fillId="8" borderId="0" xfId="1" applyNumberFormat="1" applyFont="1" applyFill="1" applyAlignment="1" applyProtection="1">
      <alignment vertical="center"/>
      <protection locked="0"/>
    </xf>
    <xf numFmtId="17" fontId="18" fillId="8" borderId="0" xfId="0" applyNumberFormat="1" applyFont="1" applyFill="1" applyAlignment="1" applyProtection="1">
      <alignment horizontal="center" vertical="center"/>
      <protection locked="0"/>
    </xf>
    <xf numFmtId="172" fontId="15" fillId="2" borderId="0" xfId="1" applyNumberFormat="1" applyFont="1" applyFill="1" applyAlignment="1" applyProtection="1">
      <alignment vertical="center"/>
      <protection locked="0"/>
    </xf>
    <xf numFmtId="0" fontId="12" fillId="3" borderId="52" xfId="0" applyFont="1" applyFill="1" applyBorder="1" applyAlignment="1" applyProtection="1">
      <alignment horizontal="center" vertical="center"/>
    </xf>
    <xf numFmtId="0" fontId="12" fillId="3" borderId="21" xfId="0" applyFont="1" applyFill="1" applyBorder="1" applyAlignment="1" applyProtection="1">
      <alignment horizontal="center" vertical="center"/>
    </xf>
    <xf numFmtId="0" fontId="12" fillId="3" borderId="23" xfId="0" applyFont="1" applyFill="1" applyBorder="1" applyAlignment="1" applyProtection="1">
      <alignment horizontal="center" vertical="center"/>
    </xf>
    <xf numFmtId="0" fontId="12" fillId="3" borderId="82" xfId="0" applyFont="1" applyFill="1" applyBorder="1" applyAlignment="1" applyProtection="1">
      <alignment horizontal="center" vertical="center"/>
    </xf>
    <xf numFmtId="0" fontId="12" fillId="3" borderId="31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</xf>
    <xf numFmtId="0" fontId="12" fillId="3" borderId="10" xfId="0" applyFont="1" applyFill="1" applyBorder="1" applyAlignment="1" applyProtection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</xf>
    <xf numFmtId="0" fontId="12" fillId="3" borderId="83" xfId="0" applyFont="1" applyFill="1" applyBorder="1" applyAlignment="1" applyProtection="1">
      <alignment horizontal="center" vertical="center"/>
    </xf>
    <xf numFmtId="0" fontId="12" fillId="3" borderId="84" xfId="0" applyFont="1" applyFill="1" applyBorder="1" applyAlignment="1" applyProtection="1">
      <alignment horizontal="center" vertical="center"/>
    </xf>
    <xf numFmtId="0" fontId="12" fillId="3" borderId="85" xfId="0" applyFont="1" applyFill="1" applyBorder="1" applyAlignment="1" applyProtection="1">
      <alignment horizontal="center" vertical="center"/>
    </xf>
    <xf numFmtId="0" fontId="12" fillId="3" borderId="86" xfId="0" applyFont="1" applyFill="1" applyBorder="1" applyAlignment="1" applyProtection="1">
      <alignment horizontal="center" vertical="center"/>
    </xf>
    <xf numFmtId="0" fontId="12" fillId="3" borderId="87" xfId="0" applyFont="1" applyFill="1" applyBorder="1" applyAlignment="1" applyProtection="1">
      <alignment horizontal="center" vertical="center"/>
    </xf>
    <xf numFmtId="0" fontId="12" fillId="3" borderId="10" xfId="0" applyFont="1" applyFill="1" applyBorder="1" applyAlignment="1" applyProtection="1">
      <alignment horizontal="right" vertical="center"/>
    </xf>
    <xf numFmtId="1" fontId="6" fillId="0" borderId="0" xfId="0" applyNumberFormat="1" applyFont="1" applyAlignment="1" applyProtection="1">
      <alignment vertical="center"/>
      <protection locked="0"/>
    </xf>
    <xf numFmtId="1" fontId="9" fillId="0" borderId="0" xfId="0" applyNumberFormat="1" applyFont="1" applyAlignment="1" applyProtection="1">
      <alignment horizontal="center" vertical="center"/>
      <protection locked="0"/>
    </xf>
    <xf numFmtId="1" fontId="60" fillId="0" borderId="0" xfId="0" applyNumberFormat="1" applyFont="1" applyAlignment="1" applyProtection="1">
      <alignment vertical="center"/>
      <protection locked="0"/>
    </xf>
    <xf numFmtId="1" fontId="6" fillId="0" borderId="0" xfId="0" applyNumberFormat="1" applyFont="1" applyAlignment="1" applyProtection="1">
      <alignment horizontal="left" vertical="center"/>
      <protection locked="0"/>
    </xf>
    <xf numFmtId="1" fontId="7" fillId="0" borderId="0" xfId="0" applyNumberFormat="1" applyFont="1" applyAlignment="1" applyProtection="1">
      <alignment horizontal="center" vertical="center"/>
      <protection locked="0"/>
    </xf>
    <xf numFmtId="1" fontId="14" fillId="0" borderId="0" xfId="0" applyNumberFormat="1" applyFont="1" applyAlignment="1" applyProtection="1">
      <alignment vertical="center"/>
      <protection locked="0"/>
    </xf>
    <xf numFmtId="1" fontId="6" fillId="0" borderId="0" xfId="0" applyNumberFormat="1" applyFont="1" applyAlignment="1" applyProtection="1">
      <alignment vertical="center" wrapText="1"/>
      <protection locked="0"/>
    </xf>
    <xf numFmtId="1" fontId="13" fillId="2" borderId="66" xfId="0" applyNumberFormat="1" applyFont="1" applyFill="1" applyBorder="1" applyAlignment="1" applyProtection="1">
      <alignment horizontal="left" vertical="center"/>
      <protection locked="0"/>
    </xf>
    <xf numFmtId="9" fontId="14" fillId="0" borderId="66" xfId="2" applyFont="1" applyBorder="1" applyAlignment="1" applyProtection="1">
      <alignment horizontal="center" vertical="center"/>
      <protection locked="0"/>
    </xf>
    <xf numFmtId="9" fontId="14" fillId="0" borderId="10" xfId="2" applyFont="1" applyBorder="1" applyAlignment="1" applyProtection="1">
      <alignment horizontal="center" vertical="center"/>
      <protection locked="0"/>
    </xf>
    <xf numFmtId="9" fontId="14" fillId="0" borderId="32" xfId="2" applyFont="1" applyBorder="1" applyAlignment="1" applyProtection="1">
      <alignment horizontal="center" vertical="center"/>
      <protection locked="0"/>
    </xf>
    <xf numFmtId="1" fontId="13" fillId="0" borderId="0" xfId="0" applyNumberFormat="1" applyFont="1" applyAlignment="1" applyProtection="1">
      <alignment horizontal="left" vertical="center"/>
      <protection locked="0"/>
    </xf>
    <xf numFmtId="1" fontId="14" fillId="0" borderId="0" xfId="0" applyNumberFormat="1" applyFont="1" applyAlignment="1" applyProtection="1">
      <alignment horizontal="left" vertical="center"/>
      <protection locked="0"/>
    </xf>
    <xf numFmtId="1" fontId="17" fillId="0" borderId="0" xfId="0" applyNumberFormat="1" applyFont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right" vertical="center"/>
      <protection locked="0"/>
    </xf>
    <xf numFmtId="1" fontId="21" fillId="0" borderId="0" xfId="0" applyNumberFormat="1" applyFont="1" applyAlignment="1" applyProtection="1">
      <alignment horizontal="right" vertical="center"/>
      <protection locked="0"/>
    </xf>
    <xf numFmtId="164" fontId="15" fillId="6" borderId="30" xfId="1" applyNumberFormat="1" applyFont="1" applyFill="1" applyBorder="1" applyAlignment="1" applyProtection="1">
      <alignment horizontal="right" vertical="center"/>
      <protection locked="0" hidden="1"/>
    </xf>
    <xf numFmtId="167" fontId="6" fillId="0" borderId="0" xfId="2" applyNumberFormat="1" applyFont="1" applyAlignment="1" applyProtection="1">
      <alignment vertical="center"/>
      <protection locked="0"/>
    </xf>
    <xf numFmtId="1" fontId="40" fillId="0" borderId="0" xfId="0" applyNumberFormat="1" applyFont="1" applyAlignment="1" applyProtection="1">
      <alignment horizontal="left" vertical="center"/>
      <protection locked="0"/>
    </xf>
    <xf numFmtId="0" fontId="12" fillId="3" borderId="22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2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2" fillId="3" borderId="19" xfId="0" applyFont="1" applyFill="1" applyBorder="1" applyAlignment="1" applyProtection="1">
      <alignment horizontal="center" vertical="center" wrapText="1"/>
    </xf>
    <xf numFmtId="164" fontId="8" fillId="3" borderId="19" xfId="1" applyNumberFormat="1" applyFont="1" applyFill="1" applyBorder="1" applyAlignment="1" applyProtection="1">
      <alignment horizontal="left" vertical="center"/>
    </xf>
    <xf numFmtId="164" fontId="12" fillId="3" borderId="1" xfId="1" applyNumberFormat="1" applyFont="1" applyFill="1" applyBorder="1" applyAlignment="1" applyProtection="1">
      <alignment horizontal="left" vertical="center"/>
    </xf>
    <xf numFmtId="164" fontId="8" fillId="3" borderId="2" xfId="1" applyNumberFormat="1" applyFont="1" applyFill="1" applyBorder="1" applyAlignment="1" applyProtection="1">
      <alignment horizontal="center" vertical="center"/>
    </xf>
    <xf numFmtId="164" fontId="8" fillId="3" borderId="13" xfId="1" applyNumberFormat="1" applyFont="1" applyFill="1" applyBorder="1" applyAlignment="1" applyProtection="1">
      <alignment horizontal="center" vertical="center"/>
    </xf>
    <xf numFmtId="164" fontId="8" fillId="3" borderId="19" xfId="1" applyNumberFormat="1" applyFont="1" applyFill="1" applyBorder="1" applyAlignment="1" applyProtection="1">
      <alignment horizontal="center" vertical="center"/>
    </xf>
    <xf numFmtId="1" fontId="18" fillId="25" borderId="65" xfId="0" applyNumberFormat="1" applyFont="1" applyFill="1" applyBorder="1" applyAlignment="1" applyProtection="1">
      <alignment horizontal="left" vertical="center" wrapText="1"/>
    </xf>
    <xf numFmtId="0" fontId="10" fillId="3" borderId="66" xfId="0" applyFont="1" applyFill="1" applyBorder="1" applyAlignment="1" applyProtection="1">
      <alignment horizontal="center" vertical="center" wrapText="1"/>
    </xf>
    <xf numFmtId="0" fontId="12" fillId="3" borderId="66" xfId="0" applyFont="1" applyFill="1" applyBorder="1" applyAlignment="1" applyProtection="1">
      <alignment horizontal="center" vertical="center" wrapText="1"/>
    </xf>
    <xf numFmtId="0" fontId="12" fillId="3" borderId="62" xfId="0" applyFont="1" applyFill="1" applyBorder="1" applyAlignment="1" applyProtection="1">
      <alignment horizontal="center" vertical="center" wrapText="1"/>
    </xf>
    <xf numFmtId="0" fontId="8" fillId="3" borderId="19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left" vertical="center"/>
    </xf>
    <xf numFmtId="164" fontId="6" fillId="6" borderId="10" xfId="1" applyNumberFormat="1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left" vertical="center"/>
    </xf>
    <xf numFmtId="164" fontId="8" fillId="3" borderId="4" xfId="0" applyNumberFormat="1" applyFont="1" applyFill="1" applyBorder="1" applyAlignment="1" applyProtection="1">
      <alignment horizontal="center" vertical="center"/>
    </xf>
    <xf numFmtId="164" fontId="8" fillId="3" borderId="4" xfId="1" applyNumberFormat="1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left" vertical="center"/>
    </xf>
    <xf numFmtId="1" fontId="18" fillId="25" borderId="1" xfId="0" applyNumberFormat="1" applyFont="1" applyFill="1" applyBorder="1" applyAlignment="1" applyProtection="1">
      <alignment horizontal="left" vertical="center" wrapText="1"/>
    </xf>
    <xf numFmtId="0" fontId="8" fillId="3" borderId="65" xfId="0" applyFont="1" applyFill="1" applyBorder="1" applyAlignment="1" applyProtection="1">
      <alignment vertical="center"/>
    </xf>
    <xf numFmtId="0" fontId="32" fillId="3" borderId="66" xfId="0" applyFont="1" applyFill="1" applyBorder="1" applyAlignment="1" applyProtection="1">
      <alignment horizontal="center" vertical="center"/>
    </xf>
    <xf numFmtId="164" fontId="32" fillId="3" borderId="65" xfId="1" applyNumberFormat="1" applyFont="1" applyFill="1" applyBorder="1" applyAlignment="1" applyProtection="1">
      <alignment horizontal="center" vertical="center"/>
    </xf>
    <xf numFmtId="164" fontId="8" fillId="3" borderId="66" xfId="1" applyNumberFormat="1" applyFont="1" applyFill="1" applyBorder="1" applyAlignment="1" applyProtection="1">
      <alignment horizontal="center" vertical="center"/>
    </xf>
    <xf numFmtId="164" fontId="8" fillId="3" borderId="62" xfId="1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164" fontId="8" fillId="3" borderId="10" xfId="1" applyNumberFormat="1" applyFont="1" applyFill="1" applyBorder="1" applyAlignment="1" applyProtection="1">
      <alignment horizontal="center" vertical="center"/>
    </xf>
    <xf numFmtId="164" fontId="8" fillId="3" borderId="25" xfId="1" applyNumberFormat="1" applyFont="1" applyFill="1" applyBorder="1" applyAlignment="1" applyProtection="1">
      <alignment horizontal="center" vertical="center"/>
    </xf>
    <xf numFmtId="0" fontId="8" fillId="3" borderId="41" xfId="0" applyFont="1" applyFill="1" applyBorder="1" applyAlignment="1" applyProtection="1">
      <alignment horizontal="center" vertical="center"/>
    </xf>
    <xf numFmtId="164" fontId="8" fillId="3" borderId="32" xfId="1" applyNumberFormat="1" applyFont="1" applyFill="1" applyBorder="1" applyAlignment="1" applyProtection="1">
      <alignment horizontal="center" vertical="center"/>
    </xf>
    <xf numFmtId="164" fontId="8" fillId="3" borderId="26" xfId="1" applyNumberFormat="1" applyFont="1" applyFill="1" applyBorder="1" applyAlignment="1" applyProtection="1">
      <alignment horizontal="center" vertical="center"/>
    </xf>
    <xf numFmtId="164" fontId="8" fillId="21" borderId="13" xfId="1" applyNumberFormat="1" applyFont="1" applyFill="1" applyBorder="1" applyAlignment="1" applyProtection="1">
      <alignment horizontal="center" vertical="center"/>
    </xf>
    <xf numFmtId="9" fontId="39" fillId="6" borderId="10" xfId="2" applyNumberFormat="1" applyFont="1" applyFill="1" applyBorder="1" applyAlignment="1" applyProtection="1">
      <alignment horizontal="center" vertical="center"/>
    </xf>
    <xf numFmtId="167" fontId="8" fillId="21" borderId="13" xfId="2" applyNumberFormat="1" applyFont="1" applyFill="1" applyBorder="1" applyAlignment="1" applyProtection="1">
      <alignment horizontal="center" vertical="center"/>
    </xf>
    <xf numFmtId="49" fontId="8" fillId="3" borderId="53" xfId="0" applyNumberFormat="1" applyFont="1" applyFill="1" applyBorder="1" applyAlignment="1" applyProtection="1">
      <alignment horizontal="left"/>
      <protection locked="0"/>
    </xf>
    <xf numFmtId="49" fontId="8" fillId="3" borderId="54" xfId="0" applyNumberFormat="1" applyFont="1" applyFill="1" applyBorder="1" applyAlignment="1" applyProtection="1">
      <alignment horizontal="left"/>
      <protection locked="0"/>
    </xf>
    <xf numFmtId="0" fontId="8" fillId="18" borderId="53" xfId="0" applyFont="1" applyFill="1" applyBorder="1" applyAlignment="1" applyProtection="1">
      <alignment horizontal="center"/>
      <protection locked="0"/>
    </xf>
    <xf numFmtId="0" fontId="8" fillId="18" borderId="43" xfId="0" applyFont="1" applyFill="1" applyBorder="1" applyAlignment="1" applyProtection="1">
      <alignment horizontal="center"/>
      <protection locked="0"/>
    </xf>
    <xf numFmtId="0" fontId="18" fillId="4" borderId="22" xfId="0" applyFont="1" applyFill="1" applyBorder="1" applyAlignment="1" applyProtection="1">
      <alignment horizontal="center" vertical="center" wrapText="1"/>
      <protection locked="0"/>
    </xf>
    <xf numFmtId="0" fontId="18" fillId="4" borderId="18" xfId="0" applyFont="1" applyFill="1" applyBorder="1" applyAlignment="1" applyProtection="1">
      <alignment horizontal="center" vertical="center" wrapText="1"/>
      <protection locked="0"/>
    </xf>
    <xf numFmtId="0" fontId="18" fillId="4" borderId="2" xfId="0" applyFont="1" applyFill="1" applyBorder="1" applyAlignment="1" applyProtection="1">
      <alignment horizontal="center" vertical="center" wrapText="1"/>
      <protection locked="0"/>
    </xf>
    <xf numFmtId="0" fontId="18" fillId="4" borderId="13" xfId="0" applyFont="1" applyFill="1" applyBorder="1" applyAlignment="1" applyProtection="1">
      <alignment horizontal="center" vertical="center" wrapText="1"/>
      <protection locked="0"/>
    </xf>
    <xf numFmtId="49" fontId="8" fillId="3" borderId="39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34" fillId="23" borderId="1" xfId="0" applyFont="1" applyFill="1" applyBorder="1" applyAlignment="1" applyProtection="1">
      <alignment horizontal="center" vertical="center" wrapText="1"/>
      <protection locked="0"/>
    </xf>
    <xf numFmtId="0" fontId="34" fillId="23" borderId="2" xfId="0" applyFont="1" applyFill="1" applyBorder="1" applyAlignment="1" applyProtection="1">
      <alignment horizontal="center" vertical="center" wrapText="1"/>
      <protection locked="0"/>
    </xf>
    <xf numFmtId="0" fontId="8" fillId="18" borderId="1" xfId="0" applyFont="1" applyFill="1" applyBorder="1" applyAlignment="1" applyProtection="1">
      <alignment horizontal="center"/>
      <protection locked="0"/>
    </xf>
    <xf numFmtId="0" fontId="8" fillId="18" borderId="2" xfId="0" applyFont="1" applyFill="1" applyBorder="1" applyAlignment="1" applyProtection="1">
      <alignment horizontal="center"/>
      <protection locked="0"/>
    </xf>
    <xf numFmtId="0" fontId="8" fillId="3" borderId="27" xfId="0" applyFont="1" applyFill="1" applyBorder="1" applyAlignment="1" applyProtection="1">
      <alignment horizontal="center"/>
      <protection locked="0"/>
    </xf>
    <xf numFmtId="0" fontId="8" fillId="3" borderId="28" xfId="0" applyFont="1" applyFill="1" applyBorder="1" applyAlignment="1" applyProtection="1">
      <alignment horizontal="center"/>
      <protection locked="0"/>
    </xf>
    <xf numFmtId="0" fontId="8" fillId="18" borderId="13" xfId="0" applyFont="1" applyFill="1" applyBorder="1" applyAlignment="1" applyProtection="1">
      <alignment horizontal="center"/>
      <protection locked="0"/>
    </xf>
    <xf numFmtId="49" fontId="8" fillId="3" borderId="15" xfId="0" applyNumberFormat="1" applyFont="1" applyFill="1" applyBorder="1" applyAlignment="1" applyProtection="1">
      <alignment horizontal="left"/>
      <protection locked="0"/>
    </xf>
    <xf numFmtId="49" fontId="8" fillId="3" borderId="5" xfId="0" applyNumberFormat="1" applyFont="1" applyFill="1" applyBorder="1" applyAlignment="1" applyProtection="1">
      <alignment horizontal="left"/>
      <protection locked="0"/>
    </xf>
    <xf numFmtId="0" fontId="8" fillId="18" borderId="1" xfId="0" applyFont="1" applyFill="1" applyBorder="1" applyAlignment="1" applyProtection="1">
      <alignment horizontal="left"/>
      <protection locked="0"/>
    </xf>
    <xf numFmtId="0" fontId="8" fillId="18" borderId="13" xfId="0" applyFont="1" applyFill="1" applyBorder="1" applyAlignment="1" applyProtection="1">
      <alignment horizontal="left"/>
      <protection locked="0"/>
    </xf>
    <xf numFmtId="0" fontId="8" fillId="3" borderId="22" xfId="0" applyFont="1" applyFill="1" applyBorder="1" applyAlignment="1" applyProtection="1">
      <alignment horizontal="center"/>
      <protection locked="0"/>
    </xf>
    <xf numFmtId="0" fontId="8" fillId="3" borderId="21" xfId="0" applyFont="1" applyFill="1" applyBorder="1" applyAlignment="1" applyProtection="1">
      <alignment horizontal="center"/>
      <protection locked="0"/>
    </xf>
    <xf numFmtId="49" fontId="8" fillId="3" borderId="35" xfId="0" applyNumberFormat="1" applyFont="1" applyFill="1" applyBorder="1" applyAlignment="1" applyProtection="1">
      <alignment horizontal="left"/>
      <protection locked="0"/>
    </xf>
    <xf numFmtId="49" fontId="8" fillId="3" borderId="40" xfId="0" applyNumberFormat="1" applyFont="1" applyFill="1" applyBorder="1" applyAlignment="1" applyProtection="1">
      <alignment horizontal="left"/>
      <protection locked="0"/>
    </xf>
    <xf numFmtId="0" fontId="45" fillId="18" borderId="1" xfId="0" applyFont="1" applyFill="1" applyBorder="1" applyAlignment="1" applyProtection="1">
      <alignment horizontal="center"/>
      <protection locked="0"/>
    </xf>
    <xf numFmtId="0" fontId="45" fillId="18" borderId="2" xfId="0" applyFont="1" applyFill="1" applyBorder="1" applyAlignment="1" applyProtection="1">
      <alignment horizontal="center"/>
      <protection locked="0"/>
    </xf>
    <xf numFmtId="0" fontId="45" fillId="18" borderId="13" xfId="0" applyFont="1" applyFill="1" applyBorder="1" applyAlignment="1" applyProtection="1">
      <alignment horizontal="center"/>
      <protection locked="0"/>
    </xf>
    <xf numFmtId="0" fontId="8" fillId="3" borderId="35" xfId="0" applyFont="1" applyFill="1" applyBorder="1" applyAlignment="1" applyProtection="1">
      <alignment horizontal="center"/>
      <protection locked="0"/>
    </xf>
    <xf numFmtId="0" fontId="8" fillId="3" borderId="36" xfId="0" applyFont="1" applyFill="1" applyBorder="1" applyAlignment="1" applyProtection="1">
      <alignment horizontal="center"/>
      <protection locked="0"/>
    </xf>
    <xf numFmtId="49" fontId="8" fillId="3" borderId="52" xfId="0" applyNumberFormat="1" applyFont="1" applyFill="1" applyBorder="1" applyAlignment="1" applyProtection="1">
      <alignment horizontal="left"/>
      <protection locked="0"/>
    </xf>
    <xf numFmtId="49" fontId="8" fillId="3" borderId="31" xfId="0" applyNumberFormat="1" applyFont="1" applyFill="1" applyBorder="1" applyAlignment="1" applyProtection="1">
      <alignment horizontal="left"/>
      <protection locked="0"/>
    </xf>
    <xf numFmtId="49" fontId="8" fillId="3" borderId="41" xfId="0" applyNumberFormat="1" applyFont="1" applyFill="1" applyBorder="1" applyAlignment="1" applyProtection="1">
      <alignment horizontal="left"/>
      <protection locked="0"/>
    </xf>
    <xf numFmtId="49" fontId="8" fillId="3" borderId="26" xfId="0" applyNumberFormat="1" applyFont="1" applyFill="1" applyBorder="1" applyAlignment="1" applyProtection="1">
      <alignment horizontal="left"/>
      <protection locked="0"/>
    </xf>
    <xf numFmtId="0" fontId="8" fillId="18" borderId="35" xfId="0" applyFont="1" applyFill="1" applyBorder="1" applyAlignment="1" applyProtection="1">
      <alignment horizontal="center"/>
      <protection locked="0"/>
    </xf>
    <xf numFmtId="0" fontId="8" fillId="18" borderId="40" xfId="0" applyFont="1" applyFill="1" applyBorder="1" applyAlignment="1" applyProtection="1">
      <alignment horizontal="center"/>
      <protection locked="0"/>
    </xf>
    <xf numFmtId="49" fontId="8" fillId="16" borderId="1" xfId="0" applyNumberFormat="1" applyFont="1" applyFill="1" applyBorder="1" applyAlignment="1" applyProtection="1">
      <alignment horizontal="center"/>
      <protection locked="0"/>
    </xf>
    <xf numFmtId="49" fontId="8" fillId="16" borderId="13" xfId="0" applyNumberFormat="1" applyFont="1" applyFill="1" applyBorder="1" applyAlignment="1" applyProtection="1">
      <alignment horizontal="center"/>
      <protection locked="0"/>
    </xf>
    <xf numFmtId="49" fontId="8" fillId="3" borderId="6" xfId="0" applyNumberFormat="1" applyFont="1" applyFill="1" applyBorder="1" applyAlignment="1" applyProtection="1">
      <alignment horizontal="left"/>
      <protection locked="0"/>
    </xf>
    <xf numFmtId="49" fontId="8" fillId="3" borderId="38" xfId="0" applyNumberFormat="1" applyFont="1" applyFill="1" applyBorder="1" applyAlignment="1" applyProtection="1">
      <alignment horizontal="left"/>
      <protection locked="0"/>
    </xf>
    <xf numFmtId="49" fontId="8" fillId="3" borderId="9" xfId="0" applyNumberFormat="1" applyFont="1" applyFill="1" applyBorder="1" applyAlignment="1" applyProtection="1">
      <alignment horizontal="left"/>
      <protection locked="0"/>
    </xf>
    <xf numFmtId="49" fontId="8" fillId="3" borderId="25" xfId="0" applyNumberFormat="1" applyFont="1" applyFill="1" applyBorder="1" applyAlignment="1" applyProtection="1">
      <alignment horizontal="left"/>
      <protection locked="0"/>
    </xf>
    <xf numFmtId="0" fontId="8" fillId="17" borderId="1" xfId="0" applyFont="1" applyFill="1" applyBorder="1" applyAlignment="1" applyProtection="1">
      <alignment horizontal="center" wrapText="1"/>
      <protection locked="0"/>
    </xf>
    <xf numFmtId="0" fontId="8" fillId="17" borderId="2" xfId="0" applyFont="1" applyFill="1" applyBorder="1" applyAlignment="1" applyProtection="1">
      <alignment horizontal="center" wrapText="1"/>
      <protection locked="0"/>
    </xf>
    <xf numFmtId="0" fontId="8" fillId="17" borderId="13" xfId="0" applyFont="1" applyFill="1" applyBorder="1" applyAlignment="1" applyProtection="1">
      <alignment horizontal="center" wrapText="1"/>
      <protection locked="0"/>
    </xf>
    <xf numFmtId="14" fontId="45" fillId="3" borderId="37" xfId="0" applyNumberFormat="1" applyFont="1" applyFill="1" applyBorder="1" applyAlignment="1" applyProtection="1">
      <alignment horizontal="center" vertical="center"/>
      <protection locked="0"/>
    </xf>
    <xf numFmtId="1" fontId="34" fillId="4" borderId="22" xfId="0" applyNumberFormat="1" applyFont="1" applyFill="1" applyBorder="1" applyAlignment="1" applyProtection="1">
      <alignment horizontal="center" vertical="center"/>
      <protection locked="0"/>
    </xf>
    <xf numFmtId="1" fontId="34" fillId="4" borderId="2" xfId="0" applyNumberFormat="1" applyFont="1" applyFill="1" applyBorder="1" applyAlignment="1" applyProtection="1">
      <alignment horizontal="center" vertical="center"/>
      <protection locked="0"/>
    </xf>
    <xf numFmtId="1" fontId="34" fillId="4" borderId="13" xfId="0" applyNumberFormat="1" applyFont="1" applyFill="1" applyBorder="1" applyAlignment="1" applyProtection="1">
      <alignment horizontal="center" vertical="center"/>
      <protection locked="0"/>
    </xf>
    <xf numFmtId="14" fontId="45" fillId="3" borderId="23" xfId="0" applyNumberFormat="1" applyFont="1" applyFill="1" applyBorder="1" applyAlignment="1" applyProtection="1">
      <alignment horizontal="center" vertical="center"/>
      <protection locked="0"/>
    </xf>
    <xf numFmtId="14" fontId="45" fillId="3" borderId="14" xfId="0" applyNumberFormat="1" applyFont="1" applyFill="1" applyBorder="1" applyAlignment="1" applyProtection="1">
      <alignment horizontal="center" vertical="center"/>
      <protection locked="0"/>
    </xf>
    <xf numFmtId="0" fontId="8" fillId="17" borderId="1" xfId="0" applyFont="1" applyFill="1" applyBorder="1" applyAlignment="1" applyProtection="1">
      <alignment horizontal="center"/>
      <protection locked="0"/>
    </xf>
    <xf numFmtId="0" fontId="8" fillId="17" borderId="2" xfId="0" applyFont="1" applyFill="1" applyBorder="1" applyAlignment="1" applyProtection="1">
      <alignment horizontal="center"/>
      <protection locked="0"/>
    </xf>
    <xf numFmtId="0" fontId="8" fillId="17" borderId="13" xfId="0" applyFont="1" applyFill="1" applyBorder="1" applyAlignment="1" applyProtection="1">
      <alignment horizont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0" fontId="18" fillId="4" borderId="2" xfId="0" applyFont="1" applyFill="1" applyBorder="1" applyAlignment="1" applyProtection="1">
      <alignment horizontal="center" vertical="center"/>
      <protection locked="0"/>
    </xf>
    <xf numFmtId="0" fontId="18" fillId="4" borderId="13" xfId="0" applyFont="1" applyFill="1" applyBorder="1" applyAlignment="1" applyProtection="1">
      <alignment horizontal="center" vertical="center"/>
      <protection locked="0"/>
    </xf>
    <xf numFmtId="0" fontId="8" fillId="3" borderId="36" xfId="0" applyFont="1" applyFill="1" applyBorder="1" applyAlignment="1" applyProtection="1">
      <alignment horizontal="center" vertical="center"/>
      <protection locked="0"/>
    </xf>
    <xf numFmtId="0" fontId="8" fillId="17" borderId="1" xfId="0" applyFont="1" applyFill="1" applyBorder="1" applyAlignment="1" applyProtection="1">
      <alignment horizontal="center" vertical="center"/>
      <protection locked="0"/>
    </xf>
    <xf numFmtId="0" fontId="8" fillId="17" borderId="2" xfId="0" applyFont="1" applyFill="1" applyBorder="1" applyAlignment="1" applyProtection="1">
      <alignment horizontal="center" vertical="center"/>
      <protection locked="0"/>
    </xf>
    <xf numFmtId="0" fontId="8" fillId="17" borderId="13" xfId="0" applyFon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15" fillId="5" borderId="59" xfId="0" applyFont="1" applyFill="1" applyBorder="1" applyAlignment="1" applyProtection="1">
      <alignment horizontal="center"/>
      <protection locked="0"/>
    </xf>
    <xf numFmtId="0" fontId="15" fillId="5" borderId="24" xfId="0" applyFont="1" applyFill="1" applyBorder="1" applyAlignment="1" applyProtection="1">
      <alignment horizontal="center"/>
      <protection locked="0"/>
    </xf>
    <xf numFmtId="0" fontId="15" fillId="5" borderId="11" xfId="0" applyFont="1" applyFill="1" applyBorder="1" applyAlignment="1" applyProtection="1">
      <alignment horizontal="center"/>
      <protection locked="0"/>
    </xf>
    <xf numFmtId="164" fontId="8" fillId="17" borderId="15" xfId="1" applyNumberFormat="1" applyFont="1" applyFill="1" applyBorder="1" applyAlignment="1" applyProtection="1">
      <alignment horizontal="center" vertical="center"/>
      <protection locked="0"/>
    </xf>
    <xf numFmtId="164" fontId="8" fillId="17" borderId="4" xfId="1" applyNumberFormat="1" applyFont="1" applyFill="1" applyBorder="1" applyAlignment="1" applyProtection="1">
      <alignment horizontal="center" vertical="center"/>
      <protection locked="0"/>
    </xf>
    <xf numFmtId="164" fontId="8" fillId="17" borderId="5" xfId="1" applyNumberFormat="1" applyFont="1" applyFill="1" applyBorder="1" applyAlignment="1" applyProtection="1">
      <alignment horizontal="center" vertical="center"/>
      <protection locked="0"/>
    </xf>
    <xf numFmtId="0" fontId="15" fillId="4" borderId="15" xfId="0" applyFont="1" applyFill="1" applyBorder="1" applyAlignment="1" applyProtection="1">
      <alignment horizontal="center"/>
      <protection locked="0"/>
    </xf>
    <xf numFmtId="0" fontId="15" fillId="4" borderId="4" xfId="0" applyFont="1" applyFill="1" applyBorder="1" applyAlignment="1" applyProtection="1">
      <alignment horizontal="center"/>
      <protection locked="0"/>
    </xf>
    <xf numFmtId="0" fontId="15" fillId="4" borderId="5" xfId="0" applyFont="1" applyFill="1" applyBorder="1" applyAlignment="1" applyProtection="1">
      <alignment horizontal="center"/>
      <protection locked="0"/>
    </xf>
    <xf numFmtId="0" fontId="15" fillId="4" borderId="1" xfId="0" applyFon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 applyProtection="1">
      <alignment horizontal="center"/>
      <protection locked="0"/>
    </xf>
    <xf numFmtId="0" fontId="15" fillId="4" borderId="13" xfId="0" applyFont="1" applyFill="1" applyBorder="1" applyAlignment="1" applyProtection="1">
      <alignment horizontal="center"/>
      <protection locked="0"/>
    </xf>
    <xf numFmtId="0" fontId="8" fillId="21" borderId="1" xfId="0" applyFont="1" applyFill="1" applyBorder="1" applyAlignment="1" applyProtection="1">
      <alignment horizontal="center"/>
      <protection locked="0"/>
    </xf>
    <xf numFmtId="0" fontId="8" fillId="21" borderId="2" xfId="0" applyFont="1" applyFill="1" applyBorder="1" applyAlignment="1" applyProtection="1">
      <alignment horizontal="center"/>
      <protection locked="0"/>
    </xf>
    <xf numFmtId="0" fontId="8" fillId="21" borderId="13" xfId="0" applyFont="1" applyFill="1" applyBorder="1" applyAlignment="1" applyProtection="1">
      <alignment horizontal="center"/>
      <protection locked="0"/>
    </xf>
    <xf numFmtId="0" fontId="8" fillId="19" borderId="1" xfId="0" applyFont="1" applyFill="1" applyBorder="1" applyAlignment="1" applyProtection="1">
      <alignment horizontal="center"/>
      <protection locked="0"/>
    </xf>
    <xf numFmtId="0" fontId="8" fillId="19" borderId="2" xfId="0" applyFont="1" applyFill="1" applyBorder="1" applyAlignment="1" applyProtection="1">
      <alignment horizontal="center"/>
      <protection locked="0"/>
    </xf>
    <xf numFmtId="0" fontId="8" fillId="19" borderId="13" xfId="0" applyFont="1" applyFill="1" applyBorder="1" applyAlignment="1" applyProtection="1">
      <alignment horizontal="center"/>
      <protection locked="0"/>
    </xf>
    <xf numFmtId="0" fontId="8" fillId="3" borderId="35" xfId="0" applyFont="1" applyFill="1" applyBorder="1" applyAlignment="1" applyProtection="1">
      <alignment horizontal="left"/>
      <protection locked="0"/>
    </xf>
    <xf numFmtId="0" fontId="8" fillId="3" borderId="36" xfId="0" applyFont="1" applyFill="1" applyBorder="1" applyAlignment="1" applyProtection="1">
      <alignment horizontal="left"/>
      <protection locked="0"/>
    </xf>
    <xf numFmtId="0" fontId="18" fillId="4" borderId="1" xfId="0" applyFont="1" applyFill="1" applyBorder="1" applyAlignment="1" applyProtection="1">
      <alignment horizontal="center" vertical="center" wrapText="1"/>
      <protection locked="0"/>
    </xf>
    <xf numFmtId="0" fontId="18" fillId="7" borderId="1" xfId="0" applyFont="1" applyFill="1" applyBorder="1" applyAlignment="1" applyProtection="1">
      <alignment horizontal="center"/>
      <protection locked="0"/>
    </xf>
    <xf numFmtId="0" fontId="18" fillId="7" borderId="18" xfId="0" applyFont="1" applyFill="1" applyBorder="1" applyAlignment="1" applyProtection="1">
      <alignment horizontal="center"/>
      <protection locked="0"/>
    </xf>
    <xf numFmtId="0" fontId="18" fillId="7" borderId="21" xfId="0" applyFont="1" applyFill="1" applyBorder="1" applyAlignment="1" applyProtection="1">
      <alignment horizontal="center"/>
      <protection locked="0"/>
    </xf>
    <xf numFmtId="0" fontId="8" fillId="3" borderId="22" xfId="0" applyFont="1" applyFill="1" applyBorder="1" applyAlignment="1" applyProtection="1">
      <alignment horizontal="left" vertical="center"/>
      <protection locked="0"/>
    </xf>
    <xf numFmtId="0" fontId="8" fillId="3" borderId="27" xfId="0" applyFont="1" applyFill="1" applyBorder="1" applyAlignment="1" applyProtection="1">
      <alignment horizontal="left" vertical="center"/>
      <protection locked="0"/>
    </xf>
    <xf numFmtId="0" fontId="8" fillId="3" borderId="35" xfId="0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left"/>
      <protection locked="0"/>
    </xf>
    <xf numFmtId="0" fontId="8" fillId="3" borderId="13" xfId="0" applyFont="1" applyFill="1" applyBorder="1" applyAlignment="1" applyProtection="1">
      <alignment horizontal="left"/>
      <protection locked="0"/>
    </xf>
    <xf numFmtId="14" fontId="8" fillId="10" borderId="2" xfId="0" applyNumberFormat="1" applyFont="1" applyFill="1" applyBorder="1" applyAlignment="1" applyProtection="1">
      <alignment horizontal="center" wrapText="1"/>
      <protection locked="0"/>
    </xf>
    <xf numFmtId="14" fontId="8" fillId="10" borderId="13" xfId="0" applyNumberFormat="1" applyFont="1" applyFill="1" applyBorder="1" applyAlignment="1" applyProtection="1">
      <alignment horizontal="center" wrapText="1"/>
      <protection locked="0"/>
    </xf>
    <xf numFmtId="0" fontId="8" fillId="22" borderId="15" xfId="0" applyFont="1" applyFill="1" applyBorder="1" applyAlignment="1" applyProtection="1">
      <alignment horizontal="center"/>
      <protection locked="0"/>
    </xf>
    <xf numFmtId="0" fontId="8" fillId="22" borderId="5" xfId="0" applyFont="1" applyFill="1" applyBorder="1" applyAlignment="1" applyProtection="1">
      <alignment horizontal="center"/>
      <protection locked="0"/>
    </xf>
    <xf numFmtId="0" fontId="8" fillId="10" borderId="1" xfId="0" applyFont="1" applyFill="1" applyBorder="1" applyAlignment="1" applyProtection="1">
      <alignment horizontal="center"/>
      <protection locked="0"/>
    </xf>
    <xf numFmtId="0" fontId="8" fillId="10" borderId="2" xfId="0" applyFont="1" applyFill="1" applyBorder="1" applyAlignment="1" applyProtection="1">
      <alignment horizontal="center"/>
      <protection locked="0"/>
    </xf>
    <xf numFmtId="0" fontId="8" fillId="10" borderId="13" xfId="0" applyFont="1" applyFill="1" applyBorder="1" applyAlignment="1" applyProtection="1">
      <alignment horizontal="center"/>
      <protection locked="0"/>
    </xf>
    <xf numFmtId="14" fontId="8" fillId="10" borderId="2" xfId="0" applyNumberFormat="1" applyFont="1" applyFill="1" applyBorder="1" applyAlignment="1" applyProtection="1">
      <alignment horizontal="center"/>
      <protection locked="0"/>
    </xf>
    <xf numFmtId="14" fontId="8" fillId="10" borderId="13" xfId="0" applyNumberFormat="1" applyFont="1" applyFill="1" applyBorder="1" applyAlignment="1" applyProtection="1">
      <alignment horizontal="center"/>
      <protection locked="0"/>
    </xf>
    <xf numFmtId="14" fontId="8" fillId="10" borderId="18" xfId="0" applyNumberFormat="1" applyFont="1" applyFill="1" applyBorder="1" applyAlignment="1" applyProtection="1">
      <alignment horizontal="center"/>
      <protection locked="0"/>
    </xf>
    <xf numFmtId="14" fontId="8" fillId="10" borderId="21" xfId="0" applyNumberFormat="1" applyFont="1" applyFill="1" applyBorder="1" applyAlignment="1" applyProtection="1">
      <alignment horizontal="center"/>
      <protection locked="0"/>
    </xf>
    <xf numFmtId="164" fontId="23" fillId="6" borderId="10" xfId="1" applyNumberFormat="1" applyFont="1" applyFill="1" applyBorder="1" applyAlignment="1" applyProtection="1">
      <alignment horizontal="center" vertical="center"/>
      <protection hidden="1"/>
    </xf>
    <xf numFmtId="164" fontId="23" fillId="6" borderId="25" xfId="1" applyNumberFormat="1" applyFont="1" applyFill="1" applyBorder="1" applyAlignment="1" applyProtection="1">
      <alignment horizontal="center" vertical="center"/>
      <protection hidden="1"/>
    </xf>
    <xf numFmtId="164" fontId="24" fillId="21" borderId="32" xfId="1" applyNumberFormat="1" applyFont="1" applyFill="1" applyBorder="1" applyAlignment="1" applyProtection="1">
      <alignment horizontal="center" vertical="center"/>
      <protection hidden="1"/>
    </xf>
    <xf numFmtId="164" fontId="24" fillId="21" borderId="26" xfId="1" applyNumberFormat="1" applyFont="1" applyFill="1" applyBorder="1" applyAlignment="1" applyProtection="1">
      <alignment horizontal="center" vertical="center"/>
      <protection hidden="1"/>
    </xf>
    <xf numFmtId="0" fontId="27" fillId="21" borderId="22" xfId="0" applyFont="1" applyFill="1" applyBorder="1" applyAlignment="1" applyProtection="1">
      <alignment horizontal="center" vertical="center" wrapText="1"/>
    </xf>
    <xf numFmtId="0" fontId="27" fillId="21" borderId="27" xfId="0" applyFont="1" applyFill="1" applyBorder="1" applyAlignment="1" applyProtection="1">
      <alignment horizontal="center" vertical="center" wrapText="1"/>
    </xf>
    <xf numFmtId="1" fontId="7" fillId="0" borderId="0" xfId="0" applyNumberFormat="1" applyFont="1" applyAlignment="1" applyProtection="1">
      <alignment horizontal="center" vertical="center"/>
      <protection locked="0"/>
    </xf>
    <xf numFmtId="1" fontId="57" fillId="25" borderId="22" xfId="0" applyNumberFormat="1" applyFont="1" applyFill="1" applyBorder="1" applyAlignment="1" applyProtection="1">
      <alignment horizontal="left" vertical="center"/>
    </xf>
    <xf numFmtId="1" fontId="57" fillId="25" borderId="18" xfId="0" applyNumberFormat="1" applyFont="1" applyFill="1" applyBorder="1" applyAlignment="1" applyProtection="1">
      <alignment horizontal="left" vertical="center"/>
    </xf>
    <xf numFmtId="1" fontId="57" fillId="25" borderId="76" xfId="0" applyNumberFormat="1" applyFont="1" applyFill="1" applyBorder="1" applyAlignment="1" applyProtection="1">
      <alignment horizontal="left" vertical="center"/>
    </xf>
    <xf numFmtId="1" fontId="57" fillId="25" borderId="16" xfId="0" applyNumberFormat="1" applyFont="1" applyFill="1" applyBorder="1" applyAlignment="1" applyProtection="1">
      <alignment horizontal="center" vertical="center"/>
    </xf>
    <xf numFmtId="1" fontId="57" fillId="25" borderId="24" xfId="0" applyNumberFormat="1" applyFont="1" applyFill="1" applyBorder="1" applyAlignment="1" applyProtection="1">
      <alignment horizontal="center" vertical="center"/>
    </xf>
    <xf numFmtId="0" fontId="32" fillId="3" borderId="66" xfId="0" applyFont="1" applyFill="1" applyBorder="1" applyAlignment="1" applyProtection="1">
      <alignment horizontal="center" vertical="center"/>
    </xf>
    <xf numFmtId="0" fontId="32" fillId="3" borderId="62" xfId="0" applyFont="1" applyFill="1" applyBorder="1" applyAlignment="1" applyProtection="1">
      <alignment horizontal="center" vertical="center"/>
    </xf>
    <xf numFmtId="0" fontId="8" fillId="3" borderId="35" xfId="0" applyFont="1" applyFill="1" applyBorder="1" applyAlignment="1" applyProtection="1">
      <alignment horizontal="center" vertical="center"/>
    </xf>
    <xf numFmtId="0" fontId="8" fillId="3" borderId="40" xfId="0" applyFont="1" applyFill="1" applyBorder="1" applyAlignment="1" applyProtection="1">
      <alignment horizontal="center" vertical="center"/>
    </xf>
    <xf numFmtId="0" fontId="12" fillId="3" borderId="27" xfId="0" applyFont="1" applyFill="1" applyBorder="1" applyAlignment="1" applyProtection="1">
      <alignment horizontal="center" vertical="center" wrapText="1"/>
    </xf>
    <xf numFmtId="0" fontId="12" fillId="3" borderId="28" xfId="0" applyFont="1" applyFill="1" applyBorder="1" applyAlignment="1" applyProtection="1">
      <alignment horizontal="center" vertical="center" wrapText="1"/>
    </xf>
    <xf numFmtId="0" fontId="15" fillId="7" borderId="10" xfId="0" applyFont="1" applyFill="1" applyBorder="1" applyAlignment="1" applyProtection="1">
      <alignment horizontal="center" vertical="center"/>
      <protection locked="0"/>
    </xf>
    <xf numFmtId="0" fontId="18" fillId="8" borderId="10" xfId="0" applyFont="1" applyFill="1" applyBorder="1" applyAlignment="1" applyProtection="1">
      <alignment horizontal="center" vertical="center"/>
      <protection locked="0"/>
    </xf>
    <xf numFmtId="0" fontId="15" fillId="6" borderId="10" xfId="0" applyFont="1" applyFill="1" applyBorder="1" applyAlignment="1" applyProtection="1">
      <alignment horizontal="center" vertical="center"/>
      <protection locked="0"/>
    </xf>
    <xf numFmtId="0" fontId="12" fillId="3" borderId="41" xfId="0" applyFont="1" applyFill="1" applyBorder="1" applyAlignment="1" applyProtection="1">
      <alignment horizontal="center" vertical="center"/>
    </xf>
    <xf numFmtId="0" fontId="12" fillId="3" borderId="32" xfId="0" applyFont="1" applyFill="1" applyBorder="1" applyAlignment="1" applyProtection="1">
      <alignment horizontal="center" vertical="center"/>
    </xf>
    <xf numFmtId="166" fontId="14" fillId="5" borderId="27" xfId="0" applyNumberFormat="1" applyFont="1" applyFill="1" applyBorder="1" applyAlignment="1" applyProtection="1">
      <alignment horizontal="center" vertical="center"/>
      <protection locked="0" hidden="1"/>
    </xf>
    <xf numFmtId="166" fontId="14" fillId="5" borderId="0" xfId="0" applyNumberFormat="1" applyFont="1" applyFill="1" applyBorder="1" applyAlignment="1" applyProtection="1">
      <alignment horizontal="center" vertical="center"/>
      <protection locked="0" hidden="1"/>
    </xf>
    <xf numFmtId="0" fontId="8" fillId="18" borderId="27" xfId="0" applyFont="1" applyFill="1" applyBorder="1" applyAlignment="1" applyProtection="1">
      <alignment horizontal="center"/>
      <protection locked="0"/>
    </xf>
    <xf numFmtId="0" fontId="8" fillId="18" borderId="0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13" xfId="0" applyFont="1" applyFill="1" applyBorder="1" applyAlignment="1" applyProtection="1">
      <alignment horizontal="center" vertical="center"/>
    </xf>
    <xf numFmtId="0" fontId="27" fillId="3" borderId="1" xfId="0" applyFont="1" applyFill="1" applyBorder="1" applyAlignment="1" applyProtection="1">
      <alignment horizontal="center" vertical="center"/>
    </xf>
    <xf numFmtId="0" fontId="27" fillId="3" borderId="2" xfId="0" applyFont="1" applyFill="1" applyBorder="1" applyAlignment="1" applyProtection="1">
      <alignment horizontal="center" vertical="center"/>
    </xf>
    <xf numFmtId="0" fontId="27" fillId="3" borderId="13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3" borderId="13" xfId="0" applyFont="1" applyFill="1" applyBorder="1" applyAlignment="1" applyProtection="1">
      <alignment horizontal="center" vertical="center"/>
      <protection locked="0"/>
    </xf>
    <xf numFmtId="0" fontId="30" fillId="30" borderId="1" xfId="0" applyFont="1" applyFill="1" applyBorder="1" applyAlignment="1" applyProtection="1">
      <alignment horizontal="center" vertical="center"/>
    </xf>
    <xf numFmtId="0" fontId="30" fillId="30" borderId="2" xfId="0" applyFont="1" applyFill="1" applyBorder="1" applyAlignment="1" applyProtection="1">
      <alignment horizontal="center" vertical="center"/>
    </xf>
    <xf numFmtId="0" fontId="30" fillId="30" borderId="13" xfId="0" applyFont="1" applyFill="1" applyBorder="1" applyAlignment="1" applyProtection="1">
      <alignment horizontal="center" vertical="center"/>
    </xf>
    <xf numFmtId="0" fontId="12" fillId="3" borderId="88" xfId="0" applyFont="1" applyFill="1" applyBorder="1" applyAlignment="1" applyProtection="1">
      <alignment horizontal="center" vertical="center"/>
    </xf>
    <xf numFmtId="0" fontId="12" fillId="3" borderId="89" xfId="0" applyFont="1" applyFill="1" applyBorder="1" applyAlignment="1" applyProtection="1">
      <alignment horizontal="center" vertical="center"/>
    </xf>
    <xf numFmtId="0" fontId="12" fillId="3" borderId="88" xfId="0" applyFont="1" applyFill="1" applyBorder="1" applyAlignment="1" applyProtection="1">
      <alignment horizontal="center" vertical="center"/>
      <protection locked="0"/>
    </xf>
    <xf numFmtId="0" fontId="12" fillId="3" borderId="89" xfId="0" applyFont="1" applyFill="1" applyBorder="1" applyAlignment="1" applyProtection="1">
      <alignment horizontal="center" vertical="center"/>
      <protection locked="0"/>
    </xf>
    <xf numFmtId="0" fontId="27" fillId="29" borderId="1" xfId="0" applyFont="1" applyFill="1" applyBorder="1" applyAlignment="1" applyProtection="1">
      <alignment horizontal="center" vertical="center"/>
    </xf>
    <xf numFmtId="0" fontId="27" fillId="29" borderId="2" xfId="0" applyFont="1" applyFill="1" applyBorder="1" applyAlignment="1" applyProtection="1">
      <alignment horizontal="center" vertical="center"/>
    </xf>
    <xf numFmtId="0" fontId="27" fillId="29" borderId="13" xfId="0" applyFont="1" applyFill="1" applyBorder="1" applyAlignment="1" applyProtection="1">
      <alignment horizontal="center" vertical="center"/>
    </xf>
    <xf numFmtId="0" fontId="29" fillId="3" borderId="22" xfId="0" applyFont="1" applyFill="1" applyBorder="1" applyAlignment="1" applyProtection="1">
      <alignment horizontal="center" vertical="center"/>
    </xf>
    <xf numFmtId="0" fontId="29" fillId="3" borderId="18" xfId="0" applyFont="1" applyFill="1" applyBorder="1" applyAlignment="1" applyProtection="1">
      <alignment horizontal="center" vertical="center"/>
    </xf>
    <xf numFmtId="0" fontId="29" fillId="3" borderId="21" xfId="0" applyFont="1" applyFill="1" applyBorder="1" applyAlignment="1" applyProtection="1">
      <alignment horizontal="center" vertical="center"/>
    </xf>
    <xf numFmtId="0" fontId="27" fillId="29" borderId="0" xfId="0" applyFont="1" applyFill="1" applyBorder="1" applyAlignment="1" applyProtection="1">
      <alignment horizontal="center" vertical="center"/>
    </xf>
    <xf numFmtId="0" fontId="27" fillId="21" borderId="22" xfId="0" applyFont="1" applyFill="1" applyBorder="1" applyAlignment="1" applyProtection="1">
      <alignment horizontal="center" vertical="center"/>
      <protection locked="0"/>
    </xf>
    <xf numFmtId="0" fontId="27" fillId="21" borderId="18" xfId="0" applyFont="1" applyFill="1" applyBorder="1" applyAlignment="1" applyProtection="1">
      <alignment horizontal="center" vertical="center"/>
      <protection locked="0"/>
    </xf>
    <xf numFmtId="0" fontId="27" fillId="21" borderId="21" xfId="0" applyFont="1" applyFill="1" applyBorder="1" applyAlignment="1" applyProtection="1">
      <alignment horizontal="center" vertical="center"/>
      <protection locked="0"/>
    </xf>
    <xf numFmtId="0" fontId="41" fillId="21" borderId="35" xfId="0" applyFont="1" applyFill="1" applyBorder="1" applyAlignment="1" applyProtection="1">
      <alignment horizontal="center" vertical="center"/>
    </xf>
    <xf numFmtId="0" fontId="41" fillId="21" borderId="40" xfId="0" applyFont="1" applyFill="1" applyBorder="1" applyAlignment="1" applyProtection="1">
      <alignment horizontal="center" vertical="center"/>
    </xf>
    <xf numFmtId="0" fontId="27" fillId="21" borderId="22" xfId="0" applyFont="1" applyFill="1" applyBorder="1" applyAlignment="1" applyProtection="1">
      <alignment horizontal="center" vertical="center"/>
    </xf>
    <xf numFmtId="0" fontId="27" fillId="21" borderId="18" xfId="0" applyFont="1" applyFill="1" applyBorder="1" applyAlignment="1" applyProtection="1">
      <alignment horizontal="center" vertical="center"/>
    </xf>
    <xf numFmtId="0" fontId="27" fillId="21" borderId="21" xfId="0" applyFont="1" applyFill="1" applyBorder="1" applyAlignment="1" applyProtection="1">
      <alignment horizontal="center" vertical="center"/>
    </xf>
    <xf numFmtId="164" fontId="8" fillId="21" borderId="40" xfId="1" applyNumberFormat="1" applyFont="1" applyFill="1" applyBorder="1" applyAlignment="1" applyProtection="1">
      <alignment horizontal="center" vertical="center"/>
    </xf>
    <xf numFmtId="164" fontId="8" fillId="21" borderId="0" xfId="1" applyNumberFormat="1" applyFont="1" applyFill="1" applyBorder="1" applyAlignment="1" applyProtection="1">
      <alignment horizontal="center" vertical="center"/>
    </xf>
    <xf numFmtId="0" fontId="52" fillId="0" borderId="59" xfId="0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baseline="0"/>
              <a:t>Distribución de n</a:t>
            </a:r>
            <a:r>
              <a:rPr lang="es-AR"/>
              <a:t>acimientos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516122984626922"/>
          <c:y val="0.17159386311046868"/>
          <c:w val="0.86210067491563558"/>
          <c:h val="0.49533168870833311"/>
        </c:manualLayout>
      </c:layout>
      <c:lineChart>
        <c:grouping val="standard"/>
        <c:varyColors val="0"/>
        <c:ser>
          <c:idx val="0"/>
          <c:order val="0"/>
          <c:tx>
            <c:strRef>
              <c:f>'3.Nacim'!$C$3</c:f>
              <c:strCache>
                <c:ptCount val="1"/>
                <c:pt idx="0">
                  <c:v>MACHOS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'3.Nacim'!$B$4:$B$16</c15:sqref>
                  </c15:fullRef>
                </c:ext>
              </c:extLst>
              <c:f>'3.Nacim'!$B$4:$B$15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'3.Nacim'!$C$4:$C$16</c15:sqref>
                  </c15:fullRef>
                </c:ext>
              </c:extLst>
              <c:f>'3.Nacim'!$C$4:$C$15</c:f>
              <c:numCache>
                <c:formatCode>General</c:formatCode>
                <c:ptCount val="12"/>
                <c:pt idx="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05-44A3-A55B-037D077D01BF}"/>
            </c:ext>
          </c:extLst>
        </c:ser>
        <c:ser>
          <c:idx val="1"/>
          <c:order val="1"/>
          <c:tx>
            <c:strRef>
              <c:f>'3.Nacim'!$D$3</c:f>
              <c:strCache>
                <c:ptCount val="1"/>
                <c:pt idx="0">
                  <c:v>HEMBRAS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'3.Nacim'!$B$4:$B$16</c15:sqref>
                  </c15:fullRef>
                </c:ext>
              </c:extLst>
              <c:f>'3.Nacim'!$B$4:$B$15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'3.Nacim'!$D$4:$D$16</c15:sqref>
                  </c15:fullRef>
                </c:ext>
              </c:extLst>
              <c:f>'3.Nacim'!$D$4:$D$15</c:f>
              <c:numCache>
                <c:formatCode>General</c:formatCode>
                <c:ptCount val="12"/>
                <c:pt idx="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05-44A3-A55B-037D077D0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0078800"/>
        <c:axId val="1590085872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'3.Nacim'!$E$2:$E$3</c15:sqref>
                        </c15:formulaRef>
                      </c:ext>
                    </c:extLst>
                    <c:strCache>
                      <c:ptCount val="2"/>
                      <c:pt idx="0">
                        <c:v>NACIMIENTOS</c:v>
                      </c:pt>
                      <c:pt idx="1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'3.Nacim'!$B$4:$B$16</c15:sqref>
                        </c15:fullRef>
                        <c15:formulaRef>
                          <c15:sqref>'3.Nacim'!$B$4:$B$15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'3.Nacim'!$E$4:$E$16</c15:sqref>
                        </c15:fullRef>
                        <c15:formulaRef>
                          <c15:sqref>'3.Nacim'!$E$4:$E$15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242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1F05-44A3-A55B-037D077D01BF}"/>
                  </c:ext>
                </c:extLst>
              </c15:ser>
            </c15:filteredLineSeries>
          </c:ext>
        </c:extLst>
      </c:lineChart>
      <c:catAx>
        <c:axId val="159007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590085872"/>
        <c:crosses val="autoZero"/>
        <c:auto val="1"/>
        <c:lblAlgn val="ctr"/>
        <c:lblOffset val="100"/>
        <c:noMultiLvlLbl val="0"/>
      </c:catAx>
      <c:valAx>
        <c:axId val="159008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59007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AR"/>
              <a:t>Capital de</a:t>
            </a:r>
            <a:r>
              <a:rPr lang="es-AR" baseline="0"/>
              <a:t> la Empresa</a:t>
            </a:r>
            <a:endParaRPr lang="es-A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view3D>
      <c:rotX val="30"/>
      <c:rotY val="2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163435277385417"/>
          <c:y val="0.21299978681059378"/>
          <c:w val="0.68210996186980122"/>
          <c:h val="0.5959631725231959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8D8-49B2-A3BD-16086FB1A83E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8D8-49B2-A3BD-16086FB1A83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8D8-49B2-A3BD-16086FB1A83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8D8-49B2-A3BD-16086FB1A83E}"/>
              </c:ext>
            </c:extLst>
          </c:dPt>
          <c:dPt>
            <c:idx val="4"/>
            <c:bubble3D val="0"/>
            <c:spPr>
              <a:solidFill>
                <a:srgbClr val="00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8D8-49B2-A3BD-16086FB1A83E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C039-410A-9570-3112E68308DB}"/>
              </c:ext>
            </c:extLst>
          </c:dPt>
          <c:dLbls>
            <c:dLbl>
              <c:idx val="0"/>
              <c:layout>
                <c:manualLayout>
                  <c:x val="-8.7949633012849651E-3"/>
                  <c:y val="0.170327710680537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D8-49B2-A3BD-16086FB1A83E}"/>
                </c:ext>
              </c:extLst>
            </c:dLbl>
            <c:dLbl>
              <c:idx val="1"/>
              <c:layout>
                <c:manualLayout>
                  <c:x val="7.0903632358055458E-3"/>
                  <c:y val="1.77471573642374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A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905269958769849"/>
                      <c:h val="0.143541618941812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8D8-49B2-A3BD-16086FB1A83E}"/>
                </c:ext>
              </c:extLst>
            </c:dLbl>
            <c:dLbl>
              <c:idx val="2"/>
              <c:layout>
                <c:manualLayout>
                  <c:x val="6.5852967990650296E-2"/>
                  <c:y val="0.116223448980861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D8-49B2-A3BD-16086FB1A83E}"/>
                </c:ext>
              </c:extLst>
            </c:dLbl>
            <c:dLbl>
              <c:idx val="3"/>
              <c:layout>
                <c:manualLayout>
                  <c:x val="5.0327500670811756E-3"/>
                  <c:y val="0.131382407504267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D8-49B2-A3BD-16086FB1A83E}"/>
                </c:ext>
              </c:extLst>
            </c:dLbl>
            <c:dLbl>
              <c:idx val="4"/>
              <c:layout>
                <c:manualLayout>
                  <c:x val="4.5168182177529936E-2"/>
                  <c:y val="0.107664092945284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D8-49B2-A3BD-16086FB1A83E}"/>
                </c:ext>
              </c:extLst>
            </c:dLbl>
            <c:dLbl>
              <c:idx val="5"/>
              <c:layout>
                <c:manualLayout>
                  <c:x val="-1.3826919040214099E-2"/>
                  <c:y val="6.622351518875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039-410A-9570-3112E68308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'7.Bienes'!$B$62:$B$67</c:f>
              <c:strCache>
                <c:ptCount val="6"/>
                <c:pt idx="0">
                  <c:v>CAPITAL FUNDIARIO</c:v>
                </c:pt>
                <c:pt idx="1">
                  <c:v>MEJORAS ORDINARIAS</c:v>
                </c:pt>
                <c:pt idx="2">
                  <c:v>PASTURAS</c:v>
                </c:pt>
                <c:pt idx="3">
                  <c:v>MAQUINARIA</c:v>
                </c:pt>
                <c:pt idx="4">
                  <c:v>ANIMALES</c:v>
                </c:pt>
                <c:pt idx="5">
                  <c:v>CIRCULANTE</c:v>
                </c:pt>
              </c:strCache>
            </c:strRef>
          </c:cat>
          <c:val>
            <c:numRef>
              <c:f>'7.Bienes'!$C$62:$C$67</c:f>
              <c:numCache>
                <c:formatCode>_-* #,##0_-;\-* #,##0_-;_-* "-"??_-;_-@_-</c:formatCode>
                <c:ptCount val="6"/>
                <c:pt idx="0">
                  <c:v>61750000</c:v>
                </c:pt>
                <c:pt idx="1">
                  <c:v>5146992</c:v>
                </c:pt>
                <c:pt idx="2">
                  <c:v>1023156</c:v>
                </c:pt>
                <c:pt idx="3">
                  <c:v>6965625</c:v>
                </c:pt>
                <c:pt idx="4">
                  <c:v>16531000</c:v>
                </c:pt>
                <c:pt idx="5">
                  <c:v>3276057.3033455852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4-4976-8710-53F998107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919453</xdr:colOff>
      <xdr:row>20</xdr:row>
      <xdr:rowOff>116415</xdr:rowOff>
    </xdr:from>
    <xdr:to>
      <xdr:col>8</xdr:col>
      <xdr:colOff>919813</xdr:colOff>
      <xdr:row>20</xdr:row>
      <xdr:rowOff>116775</xdr:rowOff>
    </xdr:to>
    <xdr:pic>
      <xdr:nvPicPr>
        <xdr:cNvPr id="2" name="Entrada de lápiz 1">
          <a:extLst>
            <a:ext uri="{FF2B5EF4-FFF2-40B4-BE49-F238E27FC236}">
              <a16:creationId xmlns:a16="http://schemas.microsoft.com/office/drawing/2014/main" id="{E2FEE221-9107-4FBE-8CA1-FEC300DCAB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2200" y="3672798"/>
          <a:ext cx="36000" cy="216000"/>
        </a:xfrm>
        <a:prstGeom prst="rect">
          <a:avLst/>
        </a:prstGeom>
      </xdr:spPr>
    </xdr:pic>
    <xdr:clientData/>
  </xdr:twoCellAnchor>
  <xdr:twoCellAnchor editAs="oneCell">
    <xdr:from>
      <xdr:col>8</xdr:col>
      <xdr:colOff>922333</xdr:colOff>
      <xdr:row>21</xdr:row>
      <xdr:rowOff>170132</xdr:rowOff>
    </xdr:from>
    <xdr:to>
      <xdr:col>8</xdr:col>
      <xdr:colOff>927013</xdr:colOff>
      <xdr:row>22</xdr:row>
      <xdr:rowOff>433</xdr:rowOff>
    </xdr:to>
    <xdr:pic>
      <xdr:nvPicPr>
        <xdr:cNvPr id="3" name="Entrada de lápiz 2">
          <a:extLst>
            <a:ext uri="{FF2B5EF4-FFF2-40B4-BE49-F238E27FC236}">
              <a16:creationId xmlns:a16="http://schemas.microsoft.com/office/drawing/2014/main" id="{1B615649-BA06-4963-8CEF-EE918456CD5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74440" y="4059078"/>
          <a:ext cx="22320" cy="52560"/>
        </a:xfrm>
        <a:prstGeom prst="rect">
          <a:avLst/>
        </a:prstGeom>
      </xdr:spPr>
    </xdr:pic>
    <xdr:clientData/>
  </xdr:twoCellAnchor>
  <xdr:twoCellAnchor editAs="oneCell">
    <xdr:from>
      <xdr:col>8</xdr:col>
      <xdr:colOff>833773</xdr:colOff>
      <xdr:row>19</xdr:row>
      <xdr:rowOff>163858</xdr:rowOff>
    </xdr:from>
    <xdr:to>
      <xdr:col>9</xdr:col>
      <xdr:colOff>3733</xdr:colOff>
      <xdr:row>20</xdr:row>
      <xdr:rowOff>134871</xdr:rowOff>
    </xdr:to>
    <xdr:pic>
      <xdr:nvPicPr>
        <xdr:cNvPr id="5" name="Entrada de lápiz 4">
          <a:extLst>
            <a:ext uri="{FF2B5EF4-FFF2-40B4-BE49-F238E27FC236}">
              <a16:creationId xmlns:a16="http://schemas.microsoft.com/office/drawing/2014/main" id="{DC9A215B-CF3D-4F8F-A8F3-77FC4DF98759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85520" y="3585318"/>
          <a:ext cx="178200" cy="183600"/>
        </a:xfrm>
        <a:prstGeom prst="rect">
          <a:avLst/>
        </a:prstGeom>
      </xdr:spPr>
    </xdr:pic>
    <xdr:clientData/>
  </xdr:twoCellAnchor>
  <xdr:twoCellAnchor editAs="oneCell">
    <xdr:from>
      <xdr:col>9</xdr:col>
      <xdr:colOff>215790</xdr:colOff>
      <xdr:row>13</xdr:row>
      <xdr:rowOff>71278</xdr:rowOff>
    </xdr:from>
    <xdr:to>
      <xdr:col>9</xdr:col>
      <xdr:colOff>233070</xdr:colOff>
      <xdr:row>13</xdr:row>
      <xdr:rowOff>74878</xdr:rowOff>
    </xdr:to>
    <xdr:pic>
      <xdr:nvPicPr>
        <xdr:cNvPr id="12" name="Entrada de lápiz 11">
          <a:extLst>
            <a:ext uri="{FF2B5EF4-FFF2-40B4-BE49-F238E27FC236}">
              <a16:creationId xmlns:a16="http://schemas.microsoft.com/office/drawing/2014/main" id="{354B07B4-B02C-43DB-9D86-466855702EEA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067840" y="2726718"/>
          <a:ext cx="34920" cy="21240"/>
        </a:xfrm>
        <a:prstGeom prst="rect">
          <a:avLst/>
        </a:prstGeom>
      </xdr:spPr>
    </xdr:pic>
    <xdr:clientData/>
  </xdr:twoCellAnchor>
  <xdr:twoCellAnchor editAs="oneCell">
    <xdr:from>
      <xdr:col>9</xdr:col>
      <xdr:colOff>71430</xdr:colOff>
      <xdr:row>21</xdr:row>
      <xdr:rowOff>113612</xdr:rowOff>
    </xdr:from>
    <xdr:to>
      <xdr:col>9</xdr:col>
      <xdr:colOff>74310</xdr:colOff>
      <xdr:row>21</xdr:row>
      <xdr:rowOff>117572</xdr:rowOff>
    </xdr:to>
    <xdr:pic>
      <xdr:nvPicPr>
        <xdr:cNvPr id="16" name="Entrada de lápiz 15">
          <a:extLst>
            <a:ext uri="{FF2B5EF4-FFF2-40B4-BE49-F238E27FC236}">
              <a16:creationId xmlns:a16="http://schemas.microsoft.com/office/drawing/2014/main" id="{F68A8718-B213-4178-9323-9441028BEBF8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923480" y="4002198"/>
          <a:ext cx="20520" cy="21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</xdr:row>
      <xdr:rowOff>0</xdr:rowOff>
    </xdr:from>
    <xdr:to>
      <xdr:col>11</xdr:col>
      <xdr:colOff>9526</xdr:colOff>
      <xdr:row>16</xdr:row>
      <xdr:rowOff>1904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FE8D03C-EC35-4912-84A5-A01BAF92C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116782</xdr:colOff>
      <xdr:row>20</xdr:row>
      <xdr:rowOff>51093</xdr:rowOff>
    </xdr:from>
    <xdr:to>
      <xdr:col>10</xdr:col>
      <xdr:colOff>350344</xdr:colOff>
      <xdr:row>22</xdr:row>
      <xdr:rowOff>58390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529868F4-BCCC-4030-9DA2-547EA5671D40}"/>
            </a:ext>
          </a:extLst>
        </xdr:cNvPr>
        <xdr:cNvCxnSpPr/>
      </xdr:nvCxnSpPr>
      <xdr:spPr>
        <a:xfrm flipV="1">
          <a:off x="10156132" y="12662193"/>
          <a:ext cx="1186062" cy="42639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60</xdr:row>
      <xdr:rowOff>12847</xdr:rowOff>
    </xdr:from>
    <xdr:to>
      <xdr:col>12</xdr:col>
      <xdr:colOff>23812</xdr:colOff>
      <xdr:row>76</xdr:row>
      <xdr:rowOff>116416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1468DD-D80A-4E47-9190-1D11B157CC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tabSelected="1" zoomScale="94" zoomScaleNormal="94" workbookViewId="0">
      <selection activeCell="B11" sqref="B11"/>
    </sheetView>
  </sheetViews>
  <sheetFormatPr baseColWidth="10" defaultColWidth="10.88671875" defaultRowHeight="13.8"/>
  <cols>
    <col min="1" max="1" width="46.6640625" style="71" customWidth="1"/>
    <col min="2" max="2" width="16.44140625" style="71" customWidth="1"/>
    <col min="3" max="3" width="21.6640625" style="71" customWidth="1"/>
    <col min="4" max="4" width="14.33203125" style="71" customWidth="1"/>
    <col min="5" max="5" width="17.88671875" style="71" customWidth="1"/>
    <col min="6" max="6" width="16.109375" style="71" customWidth="1"/>
    <col min="7" max="7" width="23.5546875" style="71" bestFit="1" customWidth="1"/>
    <col min="8" max="8" width="15.44140625" style="71" bestFit="1" customWidth="1"/>
    <col min="9" max="10" width="14.33203125" style="71" customWidth="1"/>
    <col min="11" max="11" width="22.109375" style="71" customWidth="1"/>
    <col min="12" max="17" width="14.33203125" style="71" customWidth="1"/>
    <col min="18" max="18" width="11" style="71" bestFit="1" customWidth="1"/>
    <col min="19" max="19" width="15.33203125" style="71" customWidth="1"/>
    <col min="20" max="20" width="14" style="71" bestFit="1" customWidth="1"/>
    <col min="21" max="21" width="17.44140625" style="71" customWidth="1"/>
    <col min="22" max="26" width="10.88671875" style="71"/>
    <col min="27" max="27" width="13.109375" style="71" customWidth="1"/>
    <col min="28" max="16384" width="10.88671875" style="71"/>
  </cols>
  <sheetData>
    <row r="1" spans="1:13" ht="14.4" thickBot="1">
      <c r="A1" s="363"/>
    </row>
    <row r="2" spans="1:13" ht="29.1" customHeight="1" thickBot="1">
      <c r="A2" s="747" t="s">
        <v>27</v>
      </c>
      <c r="B2" s="748"/>
      <c r="C2" s="749"/>
      <c r="D2" s="750"/>
    </row>
    <row r="3" spans="1:13" ht="29.1" customHeight="1" thickBot="1">
      <c r="A3" s="409"/>
      <c r="B3" s="364"/>
    </row>
    <row r="4" spans="1:13" ht="29.1" customHeight="1" thickBot="1">
      <c r="A4" s="410" t="s">
        <v>121</v>
      </c>
      <c r="B4" s="365"/>
      <c r="D4" s="366"/>
      <c r="E4" s="366"/>
      <c r="F4" s="366"/>
      <c r="G4" s="366"/>
      <c r="H4" s="366"/>
      <c r="I4" s="366"/>
      <c r="J4" s="366"/>
    </row>
    <row r="5" spans="1:13" ht="29.1" customHeight="1" thickBot="1">
      <c r="A5" s="410" t="s">
        <v>161</v>
      </c>
      <c r="B5" s="365"/>
      <c r="D5" s="753" t="s">
        <v>300</v>
      </c>
      <c r="E5" s="754"/>
      <c r="F5" s="393">
        <v>80</v>
      </c>
      <c r="G5" s="367" t="s">
        <v>301</v>
      </c>
      <c r="H5" s="366"/>
      <c r="I5" s="366"/>
      <c r="J5" s="366"/>
    </row>
    <row r="6" spans="1:13" ht="21" customHeight="1" thickBot="1">
      <c r="A6" s="410"/>
      <c r="B6" s="368"/>
      <c r="D6" s="369"/>
      <c r="J6" s="366"/>
    </row>
    <row r="7" spans="1:13" ht="29.25" customHeight="1" thickBot="1">
      <c r="A7" s="410" t="s">
        <v>20</v>
      </c>
      <c r="B7" s="394">
        <v>2022</v>
      </c>
    </row>
    <row r="8" spans="1:13" ht="22.5" customHeight="1" thickBot="1">
      <c r="J8" s="755" t="s">
        <v>194</v>
      </c>
      <c r="K8" s="759"/>
      <c r="L8" s="370" t="s">
        <v>193</v>
      </c>
    </row>
    <row r="9" spans="1:13" ht="20.25" customHeight="1" thickBot="1">
      <c r="A9" s="752"/>
      <c r="B9" s="752"/>
      <c r="D9" s="768" t="s">
        <v>227</v>
      </c>
      <c r="E9" s="769"/>
      <c r="F9" s="769"/>
      <c r="G9" s="770"/>
      <c r="J9" s="764" t="s">
        <v>220</v>
      </c>
      <c r="K9" s="765"/>
      <c r="L9" s="371">
        <f>SUM(H16:H25)</f>
        <v>140</v>
      </c>
    </row>
    <row r="10" spans="1:13" ht="14.4" thickBot="1">
      <c r="A10" s="395" t="s">
        <v>201</v>
      </c>
      <c r="B10" s="372" t="s">
        <v>26</v>
      </c>
      <c r="D10" s="773" t="s">
        <v>202</v>
      </c>
      <c r="E10" s="774"/>
      <c r="F10" s="373" t="s">
        <v>26</v>
      </c>
      <c r="G10" s="374" t="s">
        <v>226</v>
      </c>
      <c r="H10" s="374" t="s">
        <v>73</v>
      </c>
      <c r="J10" s="757" t="s">
        <v>104</v>
      </c>
      <c r="K10" s="758"/>
      <c r="L10" s="375">
        <f>+H13</f>
        <v>0</v>
      </c>
    </row>
    <row r="11" spans="1:13" ht="14.4" thickBot="1">
      <c r="A11" s="338" t="s">
        <v>23</v>
      </c>
      <c r="B11" s="396">
        <v>150</v>
      </c>
      <c r="D11" s="760" t="s">
        <v>36</v>
      </c>
      <c r="E11" s="761"/>
      <c r="F11" s="397">
        <v>0</v>
      </c>
      <c r="G11" s="398"/>
      <c r="H11" s="376">
        <f>+F11*G11</f>
        <v>0</v>
      </c>
      <c r="J11" s="757" t="s">
        <v>105</v>
      </c>
      <c r="K11" s="758"/>
      <c r="L11" s="375">
        <f>+H14</f>
        <v>0</v>
      </c>
    </row>
    <row r="12" spans="1:13" ht="14.4" thickBot="1">
      <c r="A12" s="338" t="s">
        <v>24</v>
      </c>
      <c r="B12" s="396">
        <v>30</v>
      </c>
      <c r="D12" s="743" t="s">
        <v>101</v>
      </c>
      <c r="E12" s="751"/>
      <c r="F12" s="397">
        <v>40</v>
      </c>
      <c r="G12" s="399">
        <v>1</v>
      </c>
      <c r="H12" s="377">
        <f>+F12*G12</f>
        <v>40</v>
      </c>
      <c r="J12" s="757" t="s">
        <v>76</v>
      </c>
      <c r="K12" s="758"/>
      <c r="L12" s="375">
        <f>+H12</f>
        <v>40</v>
      </c>
    </row>
    <row r="13" spans="1:13" ht="14.4" thickBot="1">
      <c r="A13" s="338" t="s">
        <v>25</v>
      </c>
      <c r="B13" s="396"/>
      <c r="D13" s="743" t="s">
        <v>98</v>
      </c>
      <c r="E13" s="751"/>
      <c r="F13" s="397">
        <v>0</v>
      </c>
      <c r="G13" s="399"/>
      <c r="H13" s="377">
        <f>+F13*G13</f>
        <v>0</v>
      </c>
      <c r="J13" s="771" t="s">
        <v>36</v>
      </c>
      <c r="K13" s="772"/>
      <c r="L13" s="375">
        <f>+H11</f>
        <v>0</v>
      </c>
    </row>
    <row r="14" spans="1:13" ht="14.4" thickBot="1">
      <c r="A14" s="338" t="s">
        <v>72</v>
      </c>
      <c r="B14" s="400">
        <f>+B11+B12-B13</f>
        <v>180</v>
      </c>
      <c r="D14" s="760" t="s">
        <v>102</v>
      </c>
      <c r="E14" s="761"/>
      <c r="F14" s="397">
        <v>0</v>
      </c>
      <c r="G14" s="401"/>
      <c r="H14" s="377">
        <f>+F14*G14</f>
        <v>0</v>
      </c>
      <c r="J14" s="755" t="s">
        <v>78</v>
      </c>
      <c r="K14" s="756"/>
      <c r="L14" s="378">
        <f>SUM(L9:L13)</f>
        <v>180</v>
      </c>
    </row>
    <row r="15" spans="1:13" ht="18" customHeight="1" thickBot="1">
      <c r="D15" s="777" t="s">
        <v>100</v>
      </c>
      <c r="E15" s="778"/>
      <c r="F15" s="778"/>
      <c r="G15" s="778"/>
      <c r="H15" s="402"/>
    </row>
    <row r="16" spans="1:13" ht="14.4" thickBot="1">
      <c r="B16" s="374" t="s">
        <v>21</v>
      </c>
      <c r="D16" s="766" t="s">
        <v>97</v>
      </c>
      <c r="E16" s="767"/>
      <c r="F16" s="389">
        <v>0</v>
      </c>
      <c r="G16" s="403"/>
      <c r="H16" s="377">
        <f t="shared" ref="H16:H25" si="0">+F16*G16</f>
        <v>0</v>
      </c>
      <c r="J16" s="762" t="s">
        <v>77</v>
      </c>
      <c r="K16" s="763"/>
      <c r="L16" s="379">
        <f>+B14-H26</f>
        <v>0</v>
      </c>
      <c r="M16" s="380" t="str">
        <f>IF(L16=0,"correcto","Revisar")</f>
        <v>correcto</v>
      </c>
    </row>
    <row r="17" spans="1:13" ht="14.4" thickBot="1">
      <c r="A17" s="381" t="s">
        <v>22</v>
      </c>
      <c r="B17" s="382">
        <v>5000</v>
      </c>
      <c r="D17" s="766" t="s">
        <v>99</v>
      </c>
      <c r="E17" s="767"/>
      <c r="F17" s="389">
        <v>28</v>
      </c>
      <c r="G17" s="390">
        <v>0.5</v>
      </c>
      <c r="H17" s="377">
        <f t="shared" si="0"/>
        <v>14</v>
      </c>
    </row>
    <row r="18" spans="1:13" ht="14.4" thickBot="1">
      <c r="D18" s="743" t="s">
        <v>35</v>
      </c>
      <c r="E18" s="744"/>
      <c r="F18" s="389">
        <v>28</v>
      </c>
      <c r="G18" s="390">
        <v>0.5</v>
      </c>
      <c r="H18" s="377">
        <f t="shared" si="0"/>
        <v>14</v>
      </c>
    </row>
    <row r="19" spans="1:13" ht="14.4" thickBot="1">
      <c r="B19" s="374" t="s">
        <v>17</v>
      </c>
      <c r="D19" s="743" t="s">
        <v>33</v>
      </c>
      <c r="E19" s="744"/>
      <c r="F19" s="389">
        <v>57</v>
      </c>
      <c r="G19" s="390">
        <v>1</v>
      </c>
      <c r="H19" s="377">
        <f t="shared" si="0"/>
        <v>57</v>
      </c>
      <c r="J19" s="779" t="s">
        <v>108</v>
      </c>
      <c r="K19" s="780"/>
      <c r="L19" s="383" t="s">
        <v>203</v>
      </c>
      <c r="M19" s="383" t="s">
        <v>204</v>
      </c>
    </row>
    <row r="20" spans="1:13" ht="14.4" thickBot="1">
      <c r="A20" s="381" t="s">
        <v>15</v>
      </c>
      <c r="B20" s="384"/>
      <c r="C20" s="385"/>
      <c r="D20" s="743" t="s">
        <v>34</v>
      </c>
      <c r="E20" s="744"/>
      <c r="F20" s="404">
        <v>30</v>
      </c>
      <c r="G20" s="390">
        <v>1</v>
      </c>
      <c r="H20" s="377">
        <f t="shared" si="0"/>
        <v>30</v>
      </c>
      <c r="J20" s="781" t="s">
        <v>110</v>
      </c>
      <c r="K20" s="782"/>
      <c r="L20" s="386" t="s">
        <v>111</v>
      </c>
      <c r="M20" s="387" t="s">
        <v>111</v>
      </c>
    </row>
    <row r="21" spans="1:13" ht="14.4" thickBot="1">
      <c r="A21" s="381" t="s">
        <v>14</v>
      </c>
      <c r="B21" s="384"/>
      <c r="C21" s="385"/>
      <c r="D21" s="743" t="s">
        <v>92</v>
      </c>
      <c r="E21" s="744"/>
      <c r="F21" s="404">
        <v>25</v>
      </c>
      <c r="G21" s="390">
        <v>1</v>
      </c>
      <c r="H21" s="377">
        <f t="shared" si="0"/>
        <v>25</v>
      </c>
      <c r="J21" s="783" t="s">
        <v>109</v>
      </c>
      <c r="K21" s="784"/>
      <c r="L21" s="386" t="s">
        <v>111</v>
      </c>
      <c r="M21" s="388" t="s">
        <v>111</v>
      </c>
    </row>
    <row r="22" spans="1:13" ht="14.4" thickBot="1">
      <c r="A22" s="381" t="s">
        <v>74</v>
      </c>
      <c r="B22" s="389">
        <v>12000</v>
      </c>
      <c r="C22" s="385"/>
      <c r="D22" s="743" t="s">
        <v>103</v>
      </c>
      <c r="E22" s="744"/>
      <c r="F22" s="404"/>
      <c r="G22" s="390"/>
      <c r="H22" s="377">
        <f t="shared" si="0"/>
        <v>0</v>
      </c>
      <c r="J22" s="775" t="s">
        <v>112</v>
      </c>
      <c r="K22" s="776"/>
      <c r="L22" s="386" t="s">
        <v>111</v>
      </c>
      <c r="M22" s="388" t="s">
        <v>111</v>
      </c>
    </row>
    <row r="23" spans="1:13" ht="14.4" thickBot="1">
      <c r="C23" s="385"/>
      <c r="D23" s="743"/>
      <c r="E23" s="744"/>
      <c r="F23" s="405">
        <v>0</v>
      </c>
      <c r="G23" s="406"/>
      <c r="H23" s="377">
        <f t="shared" si="0"/>
        <v>0</v>
      </c>
    </row>
    <row r="24" spans="1:13" ht="14.4" thickBot="1">
      <c r="C24" s="385"/>
      <c r="D24" s="743"/>
      <c r="E24" s="744"/>
      <c r="F24" s="405">
        <v>0</v>
      </c>
      <c r="G24" s="406"/>
      <c r="H24" s="377">
        <f t="shared" si="0"/>
        <v>0</v>
      </c>
      <c r="M24" s="391"/>
    </row>
    <row r="25" spans="1:13" ht="14.4" thickBot="1">
      <c r="C25" s="385"/>
      <c r="D25" s="743"/>
      <c r="E25" s="744"/>
      <c r="F25" s="405">
        <v>0</v>
      </c>
      <c r="G25" s="406"/>
      <c r="H25" s="377">
        <f t="shared" si="0"/>
        <v>0</v>
      </c>
      <c r="M25" s="391"/>
    </row>
    <row r="26" spans="1:13" ht="14.4" thickBot="1">
      <c r="C26" s="385"/>
      <c r="D26" s="745" t="s">
        <v>75</v>
      </c>
      <c r="E26" s="746"/>
      <c r="F26" s="746"/>
      <c r="G26" s="746"/>
      <c r="H26" s="407">
        <f>SUM(H11:H25)</f>
        <v>180</v>
      </c>
      <c r="M26" s="391"/>
    </row>
    <row r="27" spans="1:13" s="156" customFormat="1">
      <c r="A27" s="408"/>
    </row>
    <row r="45" spans="2:3">
      <c r="B45" s="392"/>
      <c r="C45" s="392"/>
    </row>
  </sheetData>
  <sheetProtection algorithmName="SHA-512" hashValue="t/BvYHkxdWBNQ9DmD+943r9MANEDaMH2TRyD2J33TYTuvdmXDpZhMuW27XFZJapB4nKKTiKQidRXPHk1oFs6iA==" saltValue="v/epcYZ9uKxBj2YaNKu8bA==" spinCount="100000" sheet="1" objects="1" scenarios="1"/>
  <mergeCells count="33">
    <mergeCell ref="J22:K22"/>
    <mergeCell ref="D15:G15"/>
    <mergeCell ref="J19:K19"/>
    <mergeCell ref="J20:K20"/>
    <mergeCell ref="J21:K21"/>
    <mergeCell ref="D20:E20"/>
    <mergeCell ref="D19:E19"/>
    <mergeCell ref="D16:E16"/>
    <mergeCell ref="J14:K14"/>
    <mergeCell ref="J11:K11"/>
    <mergeCell ref="J8:K8"/>
    <mergeCell ref="D21:E21"/>
    <mergeCell ref="D14:E14"/>
    <mergeCell ref="D18:E18"/>
    <mergeCell ref="D11:E11"/>
    <mergeCell ref="J16:K16"/>
    <mergeCell ref="J9:K9"/>
    <mergeCell ref="D17:E17"/>
    <mergeCell ref="D9:G9"/>
    <mergeCell ref="J10:K10"/>
    <mergeCell ref="J12:K12"/>
    <mergeCell ref="J13:K13"/>
    <mergeCell ref="D13:E13"/>
    <mergeCell ref="D10:E10"/>
    <mergeCell ref="D24:E24"/>
    <mergeCell ref="D25:E25"/>
    <mergeCell ref="D26:G26"/>
    <mergeCell ref="D23:E23"/>
    <mergeCell ref="A2:D2"/>
    <mergeCell ref="D12:E12"/>
    <mergeCell ref="D22:E22"/>
    <mergeCell ref="A9:B9"/>
    <mergeCell ref="D5:E5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7"/>
  <sheetViews>
    <sheetView showGridLines="0" zoomScale="80" zoomScaleNormal="80" workbookViewId="0">
      <selection activeCell="C17" sqref="C17"/>
    </sheetView>
  </sheetViews>
  <sheetFormatPr baseColWidth="10" defaultColWidth="11.44140625" defaultRowHeight="13.8"/>
  <cols>
    <col min="1" max="1" width="31.109375" style="8" customWidth="1"/>
    <col min="2" max="2" width="11.44140625" style="8" customWidth="1"/>
    <col min="3" max="3" width="13.33203125" style="9" customWidth="1"/>
    <col min="4" max="4" width="12" style="14" customWidth="1"/>
    <col min="5" max="5" width="11.88671875" style="17" customWidth="1"/>
    <col min="6" max="16" width="7.88671875" style="17" customWidth="1"/>
    <col min="17" max="16384" width="11.44140625" style="8"/>
  </cols>
  <sheetData>
    <row r="1" spans="1:34" ht="14.4" thickBot="1"/>
    <row r="2" spans="1:34" ht="32.25" customHeight="1" thickBot="1">
      <c r="A2" s="568" t="s">
        <v>468</v>
      </c>
      <c r="B2" s="569" t="s">
        <v>431</v>
      </c>
      <c r="C2" s="570" t="s">
        <v>306</v>
      </c>
      <c r="D2" s="569" t="s">
        <v>376</v>
      </c>
      <c r="E2" s="571" t="s">
        <v>170</v>
      </c>
    </row>
    <row r="3" spans="1:34">
      <c r="A3" s="44" t="s">
        <v>470</v>
      </c>
      <c r="B3" s="45">
        <v>20</v>
      </c>
      <c r="C3" s="45" t="s">
        <v>306</v>
      </c>
      <c r="D3" s="63">
        <v>1100</v>
      </c>
      <c r="E3" s="572">
        <f>+B3*D3</f>
        <v>22000</v>
      </c>
    </row>
    <row r="4" spans="1:34">
      <c r="A4" s="44" t="s">
        <v>393</v>
      </c>
      <c r="B4" s="45">
        <v>350</v>
      </c>
      <c r="C4" s="45" t="s">
        <v>380</v>
      </c>
      <c r="D4" s="63">
        <v>1800</v>
      </c>
      <c r="E4" s="572">
        <f>+B4*D4</f>
        <v>630000</v>
      </c>
    </row>
    <row r="5" spans="1:34">
      <c r="A5" s="44" t="s">
        <v>430</v>
      </c>
      <c r="B5" s="45">
        <v>130</v>
      </c>
      <c r="C5" s="45" t="s">
        <v>380</v>
      </c>
      <c r="D5" s="63">
        <v>120</v>
      </c>
      <c r="E5" s="572">
        <f>+B5*D5</f>
        <v>15600</v>
      </c>
    </row>
    <row r="6" spans="1:34">
      <c r="A6" s="44"/>
      <c r="B6" s="45"/>
      <c r="C6" s="45"/>
      <c r="D6" s="63"/>
      <c r="E6" s="572">
        <f>+B6*D6</f>
        <v>0</v>
      </c>
    </row>
    <row r="7" spans="1:34">
      <c r="A7" s="44"/>
      <c r="B7" s="45"/>
      <c r="C7" s="45"/>
      <c r="D7" s="63"/>
      <c r="E7" s="572">
        <f>+B7*D7</f>
        <v>0</v>
      </c>
    </row>
    <row r="8" spans="1:34">
      <c r="A8" s="44"/>
      <c r="B8" s="45"/>
      <c r="C8" s="45"/>
      <c r="D8" s="63"/>
      <c r="E8" s="572"/>
    </row>
    <row r="9" spans="1:34">
      <c r="A9" s="44"/>
      <c r="B9" s="45"/>
      <c r="C9" s="45"/>
      <c r="D9" s="63"/>
      <c r="E9" s="572"/>
    </row>
    <row r="10" spans="1:34">
      <c r="A10" s="573" t="s">
        <v>85</v>
      </c>
      <c r="B10" s="574"/>
      <c r="C10" s="574"/>
      <c r="D10" s="574"/>
      <c r="E10" s="575">
        <f>SUM(E3:E9)</f>
        <v>667600</v>
      </c>
      <c r="F10" s="8"/>
      <c r="H10" s="8"/>
      <c r="I10" s="8"/>
      <c r="J10" s="8"/>
      <c r="K10" s="8"/>
      <c r="L10" s="8"/>
    </row>
    <row r="11" spans="1:34" ht="14.4">
      <c r="A11"/>
      <c r="B11"/>
      <c r="C11"/>
      <c r="D11"/>
      <c r="E11"/>
      <c r="F11" s="8"/>
      <c r="H11" s="8"/>
      <c r="I11" s="8"/>
      <c r="J11" s="8"/>
      <c r="K11" s="8"/>
      <c r="L11" s="8"/>
    </row>
    <row r="12" spans="1:34" ht="14.4">
      <c r="A12" s="35"/>
      <c r="B12" s="35"/>
      <c r="C12" s="35"/>
      <c r="D12" s="522" t="s">
        <v>424</v>
      </c>
      <c r="E12" s="591">
        <f>$P$13/E13</f>
        <v>1.5960020829876367</v>
      </c>
      <c r="F12" s="591">
        <f t="shared" ref="F12:P12" si="0">$P$13/F13</f>
        <v>1.5331623671927099</v>
      </c>
      <c r="G12" s="591">
        <f t="shared" si="0"/>
        <v>1.4784593704847735</v>
      </c>
      <c r="H12" s="591">
        <f t="shared" si="0"/>
        <v>1.4120910892882268</v>
      </c>
      <c r="I12" s="591">
        <f t="shared" si="0"/>
        <v>1.3551737901038645</v>
      </c>
      <c r="J12" s="591">
        <f t="shared" si="0"/>
        <v>1.2980591859232418</v>
      </c>
      <c r="K12" s="591">
        <f t="shared" si="0"/>
        <v>1.2292227139424636</v>
      </c>
      <c r="L12" s="591">
        <f t="shared" si="0"/>
        <v>1.1585510970239998</v>
      </c>
      <c r="M12" s="591">
        <f t="shared" si="0"/>
        <v>1.115063616</v>
      </c>
      <c r="N12" s="591">
        <f t="shared" si="0"/>
        <v>1.063992</v>
      </c>
      <c r="O12" s="591">
        <f t="shared" si="0"/>
        <v>1.0309999999999999</v>
      </c>
      <c r="P12" s="591">
        <f t="shared" si="0"/>
        <v>1</v>
      </c>
    </row>
    <row r="13" spans="1:34" ht="14.4" thickBot="1">
      <c r="D13" s="592" t="s">
        <v>423</v>
      </c>
      <c r="E13" s="593">
        <v>1688.6</v>
      </c>
      <c r="F13" s="593">
        <v>1757.8106370218359</v>
      </c>
      <c r="G13" s="593">
        <v>1822.8496305916437</v>
      </c>
      <c r="H13" s="593">
        <v>1908.5235632294509</v>
      </c>
      <c r="I13" s="593">
        <v>1988.681552885088</v>
      </c>
      <c r="J13" s="593">
        <v>2076.1835412120317</v>
      </c>
      <c r="K13" s="593">
        <v>2192.4498195199058</v>
      </c>
      <c r="L13" s="593">
        <v>2326.1892585106198</v>
      </c>
      <c r="M13" s="593">
        <v>2416.9106395925337</v>
      </c>
      <c r="N13" s="593">
        <v>2532.9223502929754</v>
      </c>
      <c r="O13" s="593">
        <v>2613.9758655023506</v>
      </c>
      <c r="P13" s="593">
        <v>2695.0091173329233</v>
      </c>
    </row>
    <row r="14" spans="1:34" ht="39.75" customHeight="1" thickBot="1">
      <c r="A14" s="576" t="s">
        <v>259</v>
      </c>
      <c r="B14" s="577" t="s">
        <v>260</v>
      </c>
      <c r="C14" s="577" t="s">
        <v>242</v>
      </c>
      <c r="D14" s="578" t="s">
        <v>261</v>
      </c>
      <c r="E14" s="577" t="s">
        <v>243</v>
      </c>
      <c r="F14" s="577" t="s">
        <v>244</v>
      </c>
      <c r="G14" s="577" t="s">
        <v>429</v>
      </c>
      <c r="H14" s="577" t="s">
        <v>245</v>
      </c>
      <c r="I14" s="577" t="s">
        <v>246</v>
      </c>
      <c r="J14" s="577" t="s">
        <v>247</v>
      </c>
      <c r="K14" s="577" t="s">
        <v>248</v>
      </c>
      <c r="L14" s="577" t="s">
        <v>249</v>
      </c>
      <c r="M14" s="577" t="s">
        <v>250</v>
      </c>
      <c r="N14" s="577" t="s">
        <v>251</v>
      </c>
      <c r="O14" s="577" t="s">
        <v>252</v>
      </c>
      <c r="P14" s="579" t="s">
        <v>253</v>
      </c>
      <c r="Q14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pans="1:34" ht="16.5" customHeight="1">
      <c r="A15" s="55" t="s">
        <v>268</v>
      </c>
      <c r="B15" s="18" t="s">
        <v>436</v>
      </c>
      <c r="C15" s="580">
        <f>SUMPRODUCT($E$12:$P$12,E15:P15)*D15</f>
        <v>127181.5818357122</v>
      </c>
      <c r="D15" s="56">
        <v>1</v>
      </c>
      <c r="E15" s="36">
        <v>9000</v>
      </c>
      <c r="F15" s="36">
        <v>9000</v>
      </c>
      <c r="G15" s="36">
        <v>9000</v>
      </c>
      <c r="H15" s="36">
        <v>0</v>
      </c>
      <c r="I15" s="36">
        <v>9000</v>
      </c>
      <c r="J15" s="36">
        <v>9000</v>
      </c>
      <c r="K15" s="36">
        <v>9000</v>
      </c>
      <c r="L15" s="36">
        <v>0</v>
      </c>
      <c r="M15" s="36">
        <v>15000</v>
      </c>
      <c r="N15" s="36">
        <v>11000</v>
      </c>
      <c r="O15" s="36">
        <v>11000</v>
      </c>
      <c r="P15" s="37">
        <v>11000</v>
      </c>
      <c r="Q15"/>
      <c r="R15" s="15"/>
    </row>
    <row r="16" spans="1:34" ht="14.4">
      <c r="A16" s="55" t="s">
        <v>265</v>
      </c>
      <c r="B16" s="18" t="s">
        <v>266</v>
      </c>
      <c r="C16" s="580">
        <f t="shared" ref="C16:C24" si="1">SUMPRODUCT($E$12:$P$12,E16:P16)*D16</f>
        <v>137984.61304734388</v>
      </c>
      <c r="D16" s="56">
        <v>1</v>
      </c>
      <c r="E16" s="38"/>
      <c r="F16" s="36">
        <v>90000</v>
      </c>
      <c r="G16" s="38"/>
      <c r="H16" s="38"/>
      <c r="I16" s="38"/>
      <c r="J16" s="38"/>
      <c r="K16" s="38"/>
      <c r="L16" s="38"/>
      <c r="M16" s="38"/>
      <c r="N16" s="38"/>
      <c r="O16" s="38"/>
      <c r="P16" s="39"/>
      <c r="Q16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</row>
    <row r="17" spans="1:34" ht="14.4">
      <c r="A17" s="55" t="s">
        <v>267</v>
      </c>
      <c r="B17" s="18" t="s">
        <v>266</v>
      </c>
      <c r="C17" s="580">
        <f t="shared" si="1"/>
        <v>30663.2473438542</v>
      </c>
      <c r="D17" s="56">
        <v>1</v>
      </c>
      <c r="E17" s="38"/>
      <c r="F17" s="36">
        <v>20000</v>
      </c>
      <c r="G17" s="38"/>
      <c r="H17" s="38"/>
      <c r="I17" s="38"/>
      <c r="J17" s="38"/>
      <c r="K17" s="38"/>
      <c r="L17" s="38"/>
      <c r="M17" s="38"/>
      <c r="N17" s="38"/>
      <c r="O17" s="38"/>
      <c r="P17" s="39"/>
      <c r="Q17"/>
      <c r="R17" s="15"/>
    </row>
    <row r="18" spans="1:34" ht="14.4">
      <c r="A18" s="55" t="s">
        <v>269</v>
      </c>
      <c r="B18" s="18" t="s">
        <v>436</v>
      </c>
      <c r="C18" s="580">
        <f t="shared" si="1"/>
        <v>50000</v>
      </c>
      <c r="D18" s="56">
        <v>0.5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7">
        <v>100000</v>
      </c>
      <c r="Q18"/>
      <c r="R18" s="15"/>
    </row>
    <row r="19" spans="1:34" ht="14.4">
      <c r="A19" s="55" t="s">
        <v>271</v>
      </c>
      <c r="B19" s="18" t="s">
        <v>436</v>
      </c>
      <c r="C19" s="580">
        <f t="shared" si="1"/>
        <v>64902.959296162087</v>
      </c>
      <c r="D19" s="56">
        <v>1</v>
      </c>
      <c r="E19" s="36"/>
      <c r="F19" s="36"/>
      <c r="G19" s="36"/>
      <c r="H19" s="36"/>
      <c r="I19" s="36"/>
      <c r="J19" s="36">
        <v>50000</v>
      </c>
      <c r="K19" s="36"/>
      <c r="L19" s="36"/>
      <c r="M19" s="36"/>
      <c r="N19" s="36"/>
      <c r="O19" s="36"/>
      <c r="P19" s="37"/>
      <c r="Q19"/>
    </row>
    <row r="20" spans="1:34" ht="14.4">
      <c r="A20" s="55"/>
      <c r="B20" s="18"/>
      <c r="C20" s="580">
        <f t="shared" si="1"/>
        <v>0</v>
      </c>
      <c r="D20" s="56">
        <v>1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7"/>
      <c r="Q20"/>
    </row>
    <row r="21" spans="1:34" ht="14.4">
      <c r="A21" s="55"/>
      <c r="B21" s="18"/>
      <c r="C21" s="580">
        <f t="shared" si="1"/>
        <v>0</v>
      </c>
      <c r="D21" s="56">
        <v>1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7"/>
      <c r="Q21"/>
    </row>
    <row r="22" spans="1:34" ht="14.4">
      <c r="A22" s="55"/>
      <c r="B22" s="18"/>
      <c r="C22" s="580">
        <f t="shared" si="1"/>
        <v>0</v>
      </c>
      <c r="D22" s="56">
        <v>1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7"/>
      <c r="Q22"/>
    </row>
    <row r="23" spans="1:34" ht="14.4">
      <c r="A23" s="55"/>
      <c r="B23" s="18"/>
      <c r="C23" s="580">
        <f t="shared" si="1"/>
        <v>0</v>
      </c>
      <c r="D23" s="56">
        <v>1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7"/>
      <c r="Q23"/>
    </row>
    <row r="24" spans="1:34" ht="15" thickBot="1">
      <c r="A24" s="57"/>
      <c r="B24" s="58"/>
      <c r="C24" s="581">
        <f t="shared" si="1"/>
        <v>0</v>
      </c>
      <c r="D24" s="59">
        <v>1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1"/>
      <c r="Q24"/>
    </row>
    <row r="25" spans="1:34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3"/>
    </row>
    <row r="26" spans="1:34" ht="35.25" customHeight="1" thickBot="1">
      <c r="A26" s="900" t="s">
        <v>395</v>
      </c>
      <c r="B26" s="901"/>
      <c r="C26" s="901"/>
      <c r="D26" s="901"/>
      <c r="E26" s="42"/>
      <c r="F26" s="8"/>
      <c r="G26" s="8"/>
      <c r="H26" s="8"/>
      <c r="I26" s="42"/>
      <c r="J26" s="42"/>
      <c r="K26" s="42"/>
      <c r="L26" s="42"/>
      <c r="M26" s="42"/>
      <c r="N26" s="42"/>
      <c r="O26" s="42"/>
      <c r="P26" s="42"/>
    </row>
    <row r="27" spans="1:34">
      <c r="A27" s="582" t="s">
        <v>435</v>
      </c>
      <c r="B27" s="61" t="s">
        <v>436</v>
      </c>
      <c r="C27" s="61">
        <f>'9.MdO'!B23*D27</f>
        <v>1201199.3367899421</v>
      </c>
      <c r="D27" s="585">
        <f>'9.MdO'!C23</f>
        <v>1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34">
      <c r="A28" s="583" t="s">
        <v>394</v>
      </c>
      <c r="B28" s="18" t="s">
        <v>436</v>
      </c>
      <c r="C28" s="18">
        <f>+'9.MdO'!D23*$D$23</f>
        <v>540539.70155547396</v>
      </c>
      <c r="D28" s="586" t="s">
        <v>437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34">
      <c r="A29" s="583" t="s">
        <v>272</v>
      </c>
      <c r="B29" s="18" t="s">
        <v>436</v>
      </c>
      <c r="C29" s="18">
        <f>'9.MdO'!B25*D29</f>
        <v>1126812.6314336197</v>
      </c>
      <c r="D29" s="587">
        <f>'9.MdO'!C24</f>
        <v>0.5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34">
      <c r="A30" s="583" t="s">
        <v>271</v>
      </c>
      <c r="B30" s="18" t="s">
        <v>436</v>
      </c>
      <c r="C30" s="18">
        <f>C19*D30</f>
        <v>64902.959296162087</v>
      </c>
      <c r="D30" s="587">
        <f>D20</f>
        <v>1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34">
      <c r="A31" s="583" t="s">
        <v>438</v>
      </c>
      <c r="B31" s="18" t="s">
        <v>436</v>
      </c>
      <c r="C31" s="18">
        <f>C18*D31</f>
        <v>25000</v>
      </c>
      <c r="D31" s="587">
        <f>D18</f>
        <v>0.5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34">
      <c r="A32" s="583" t="s">
        <v>396</v>
      </c>
      <c r="B32" s="18" t="s">
        <v>262</v>
      </c>
      <c r="C32" s="210">
        <f>+'8.Forrajes'!AA96*D32</f>
        <v>418614</v>
      </c>
      <c r="D32" s="414">
        <v>1</v>
      </c>
      <c r="E32" s="491" t="s">
        <v>611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</row>
    <row r="33" spans="1:34">
      <c r="A33" s="583" t="s">
        <v>263</v>
      </c>
      <c r="B33" s="18" t="s">
        <v>262</v>
      </c>
      <c r="C33" s="18">
        <f>+E10*D33</f>
        <v>667600</v>
      </c>
      <c r="D33" s="587">
        <v>1</v>
      </c>
      <c r="E33" s="16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</row>
    <row r="34" spans="1:34">
      <c r="A34" s="583" t="s">
        <v>264</v>
      </c>
      <c r="B34" s="18" t="s">
        <v>262</v>
      </c>
      <c r="C34" s="210">
        <f>+'8.Forrajes'!T18*'8.Forrajes'!R5*D34</f>
        <v>29920</v>
      </c>
      <c r="D34" s="414">
        <v>1</v>
      </c>
      <c r="E34" s="491" t="s">
        <v>611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</row>
    <row r="35" spans="1:34">
      <c r="A35" s="583" t="s">
        <v>508</v>
      </c>
      <c r="B35" s="18" t="s">
        <v>262</v>
      </c>
      <c r="C35" s="210">
        <f>+'8.Forrajes'!R28*'8.Forrajes'!T41*D35</f>
        <v>279000.00000000006</v>
      </c>
      <c r="D35" s="414">
        <v>1</v>
      </c>
      <c r="E35" s="491" t="s">
        <v>611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</row>
    <row r="36" spans="1:34">
      <c r="A36" s="583" t="s">
        <v>266</v>
      </c>
      <c r="B36" s="18" t="s">
        <v>266</v>
      </c>
      <c r="C36" s="18">
        <f>(C16*D16+C17*D17)</f>
        <v>168647.86039119808</v>
      </c>
      <c r="D36" s="587">
        <f>+(D16+D17)/2</f>
        <v>1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34" ht="14.4" thickBot="1">
      <c r="A37" s="584" t="s">
        <v>270</v>
      </c>
      <c r="B37" s="58" t="s">
        <v>439</v>
      </c>
      <c r="C37" s="58">
        <f>SUMPRODUCT($C$20:$C$24,$D$20:$D$24)</f>
        <v>0</v>
      </c>
      <c r="D37" s="588">
        <f>AVERAGE(D20:D24)</f>
        <v>1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34" ht="33.75" customHeight="1" thickBot="1">
      <c r="A38" s="589" t="s">
        <v>47</v>
      </c>
      <c r="B38" s="212"/>
      <c r="C38" s="213">
        <f>SUM(C27:C37)</f>
        <v>4522236.4894663962</v>
      </c>
      <c r="D38" s="590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34">
      <c r="A39" s="15"/>
      <c r="B39" s="15"/>
      <c r="C39" s="8"/>
      <c r="D39" s="15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1" spans="1:34" ht="15.6">
      <c r="A41" s="411" t="s">
        <v>419</v>
      </c>
    </row>
    <row r="42" spans="1:34">
      <c r="A42" s="412" t="s">
        <v>656</v>
      </c>
    </row>
    <row r="43" spans="1:34">
      <c r="A43" s="541" t="s">
        <v>481</v>
      </c>
    </row>
    <row r="44" spans="1:34">
      <c r="A44" s="412" t="s">
        <v>482</v>
      </c>
    </row>
    <row r="45" spans="1:34">
      <c r="A45" s="26" t="s">
        <v>480</v>
      </c>
    </row>
    <row r="46" spans="1:34">
      <c r="A46" s="26" t="s">
        <v>483</v>
      </c>
    </row>
    <row r="47" spans="1:34">
      <c r="A47" s="26"/>
    </row>
  </sheetData>
  <sheetProtection password="CF47" sheet="1" objects="1" scenarios="1"/>
  <mergeCells count="1">
    <mergeCell ref="A26:D26"/>
  </mergeCells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7"/>
  <sheetViews>
    <sheetView showGridLines="0" zoomScale="80" zoomScaleNormal="80" workbookViewId="0">
      <selection activeCell="D17" sqref="D17"/>
    </sheetView>
  </sheetViews>
  <sheetFormatPr baseColWidth="10" defaultColWidth="11.44140625" defaultRowHeight="13.8"/>
  <cols>
    <col min="1" max="1" width="58.6640625" style="363" customWidth="1"/>
    <col min="2" max="2" width="12.5546875" style="516" customWidth="1"/>
    <col min="3" max="3" width="12.109375" style="517" customWidth="1"/>
    <col min="4" max="4" width="9" style="363" customWidth="1"/>
    <col min="5" max="15" width="8.33203125" style="363" customWidth="1"/>
    <col min="16" max="16384" width="11.44140625" style="363"/>
  </cols>
  <sheetData>
    <row r="1" spans="1:33" ht="14.4" thickBot="1"/>
    <row r="2" spans="1:33" ht="12.75" customHeight="1">
      <c r="A2" s="518"/>
      <c r="B2" s="518"/>
      <c r="C2" s="519" t="s">
        <v>424</v>
      </c>
      <c r="D2" s="520">
        <f>$O$3/D3</f>
        <v>1.5960020829876367</v>
      </c>
      <c r="E2" s="520">
        <f t="shared" ref="E2:O2" si="0">$O$3/E3</f>
        <v>1.5331623671927099</v>
      </c>
      <c r="F2" s="520">
        <f t="shared" si="0"/>
        <v>1.4784593704847735</v>
      </c>
      <c r="G2" s="520">
        <f t="shared" si="0"/>
        <v>1.4120910892882268</v>
      </c>
      <c r="H2" s="520">
        <f t="shared" si="0"/>
        <v>1.3551737901038645</v>
      </c>
      <c r="I2" s="520">
        <f t="shared" si="0"/>
        <v>1.2980591859232418</v>
      </c>
      <c r="J2" s="520">
        <f t="shared" si="0"/>
        <v>1.2292227139424636</v>
      </c>
      <c r="K2" s="520">
        <f t="shared" si="0"/>
        <v>1.1585510970239998</v>
      </c>
      <c r="L2" s="520">
        <f t="shared" si="0"/>
        <v>1.115063616</v>
      </c>
      <c r="M2" s="520">
        <f t="shared" si="0"/>
        <v>1.063992</v>
      </c>
      <c r="N2" s="520">
        <f t="shared" si="0"/>
        <v>1.0309999999999999</v>
      </c>
      <c r="O2" s="521">
        <f t="shared" si="0"/>
        <v>1</v>
      </c>
    </row>
    <row r="3" spans="1:33" ht="12.75" customHeight="1" thickBot="1">
      <c r="A3" s="518"/>
      <c r="B3" s="518"/>
      <c r="C3" s="522" t="s">
        <v>423</v>
      </c>
      <c r="D3" s="523">
        <v>1688.6</v>
      </c>
      <c r="E3" s="523">
        <v>1757.8106370218359</v>
      </c>
      <c r="F3" s="523">
        <v>1822.8496305916437</v>
      </c>
      <c r="G3" s="523">
        <v>1908.5235632294509</v>
      </c>
      <c r="H3" s="523">
        <v>1988.681552885088</v>
      </c>
      <c r="I3" s="523">
        <v>2076.1835412120317</v>
      </c>
      <c r="J3" s="523">
        <v>2192.4498195199058</v>
      </c>
      <c r="K3" s="523">
        <v>2326.1892585106198</v>
      </c>
      <c r="L3" s="523">
        <v>2416.9106395925337</v>
      </c>
      <c r="M3" s="523">
        <v>2532.9223502929754</v>
      </c>
      <c r="N3" s="523">
        <v>2613.9758655023506</v>
      </c>
      <c r="O3" s="524">
        <v>2695.0091173329233</v>
      </c>
    </row>
    <row r="4" spans="1:33" ht="29.25" customHeight="1">
      <c r="A4" s="543" t="s">
        <v>453</v>
      </c>
      <c r="B4" s="544" t="s">
        <v>242</v>
      </c>
      <c r="C4" s="545" t="s">
        <v>469</v>
      </c>
      <c r="D4" s="546" t="s">
        <v>243</v>
      </c>
      <c r="E4" s="547" t="s">
        <v>244</v>
      </c>
      <c r="F4" s="547" t="s">
        <v>429</v>
      </c>
      <c r="G4" s="547" t="s">
        <v>245</v>
      </c>
      <c r="H4" s="547" t="s">
        <v>246</v>
      </c>
      <c r="I4" s="547" t="s">
        <v>247</v>
      </c>
      <c r="J4" s="547" t="s">
        <v>248</v>
      </c>
      <c r="K4" s="547" t="s">
        <v>249</v>
      </c>
      <c r="L4" s="547" t="s">
        <v>250</v>
      </c>
      <c r="M4" s="547" t="s">
        <v>251</v>
      </c>
      <c r="N4" s="547" t="s">
        <v>252</v>
      </c>
      <c r="O4" s="548" t="s">
        <v>253</v>
      </c>
      <c r="P4" s="525"/>
      <c r="Q4" s="525"/>
      <c r="R4" s="525"/>
      <c r="S4" s="525"/>
      <c r="T4" s="525"/>
      <c r="U4" s="525"/>
      <c r="V4" s="525"/>
      <c r="W4" s="525"/>
      <c r="X4" s="525"/>
      <c r="Y4" s="525"/>
      <c r="Z4" s="525"/>
      <c r="AA4" s="525"/>
      <c r="AB4" s="525"/>
      <c r="AC4" s="525"/>
      <c r="AD4" s="525"/>
      <c r="AE4" s="525"/>
      <c r="AF4" s="525"/>
      <c r="AG4" s="525"/>
    </row>
    <row r="5" spans="1:33" ht="14.4" thickBot="1">
      <c r="A5" s="551" t="s">
        <v>440</v>
      </c>
      <c r="B5" s="30">
        <f>SUMPRODUCT($D$2:$O$2,D5:O5)*C5</f>
        <v>17856.04440060554</v>
      </c>
      <c r="C5" s="62">
        <v>1</v>
      </c>
      <c r="D5" s="45">
        <v>900</v>
      </c>
      <c r="E5" s="45">
        <v>900</v>
      </c>
      <c r="F5" s="45">
        <v>1100</v>
      </c>
      <c r="G5" s="45">
        <v>1100</v>
      </c>
      <c r="H5" s="45">
        <v>1100</v>
      </c>
      <c r="I5" s="45">
        <v>1100</v>
      </c>
      <c r="J5" s="45">
        <v>1100</v>
      </c>
      <c r="K5" s="45">
        <v>1100</v>
      </c>
      <c r="L5" s="45">
        <v>1500</v>
      </c>
      <c r="M5" s="45">
        <v>1500</v>
      </c>
      <c r="N5" s="45">
        <v>1500</v>
      </c>
      <c r="O5" s="66">
        <v>1500</v>
      </c>
      <c r="P5" s="525"/>
      <c r="Q5" s="525"/>
      <c r="R5" s="525"/>
      <c r="S5" s="525"/>
      <c r="T5" s="525"/>
      <c r="U5" s="525"/>
      <c r="V5" s="525"/>
      <c r="W5" s="525"/>
      <c r="X5" s="525"/>
      <c r="Y5" s="525"/>
      <c r="Z5" s="525"/>
      <c r="AA5" s="525"/>
      <c r="AB5" s="525"/>
      <c r="AC5" s="525"/>
      <c r="AD5" s="525"/>
      <c r="AE5" s="525"/>
      <c r="AF5" s="525"/>
      <c r="AG5" s="525"/>
    </row>
    <row r="6" spans="1:33" ht="14.4" thickBot="1">
      <c r="A6" s="551" t="s">
        <v>273</v>
      </c>
      <c r="B6" s="30">
        <f t="shared" ref="B6:B9" si="1">SUMPRODUCT($D$2:$O$2,D6:O6)*C6</f>
        <v>30000</v>
      </c>
      <c r="C6" s="62">
        <v>1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66">
        <v>30000</v>
      </c>
      <c r="P6" s="525"/>
      <c r="Q6" s="525"/>
      <c r="R6" s="525"/>
      <c r="S6" s="525"/>
      <c r="T6" s="525"/>
      <c r="U6" s="525"/>
      <c r="V6" s="525"/>
      <c r="W6" s="525"/>
      <c r="X6" s="525"/>
      <c r="Y6" s="525"/>
      <c r="Z6" s="525"/>
      <c r="AA6" s="525"/>
      <c r="AB6" s="525"/>
      <c r="AC6" s="525"/>
      <c r="AD6" s="525"/>
      <c r="AE6" s="525"/>
      <c r="AF6" s="525"/>
      <c r="AG6" s="525"/>
    </row>
    <row r="7" spans="1:33" ht="14.4" thickBot="1">
      <c r="A7" s="551" t="s">
        <v>274</v>
      </c>
      <c r="B7" s="30">
        <f t="shared" si="1"/>
        <v>27487.399163304453</v>
      </c>
      <c r="C7" s="62">
        <v>0.6</v>
      </c>
      <c r="D7" s="45">
        <v>3000</v>
      </c>
      <c r="E7" s="45">
        <v>3000</v>
      </c>
      <c r="F7" s="45">
        <v>3000</v>
      </c>
      <c r="G7" s="45">
        <v>3000</v>
      </c>
      <c r="H7" s="45">
        <v>3000</v>
      </c>
      <c r="I7" s="45">
        <v>3000</v>
      </c>
      <c r="J7" s="45">
        <v>3000</v>
      </c>
      <c r="K7" s="45">
        <v>3000</v>
      </c>
      <c r="L7" s="45">
        <v>3000</v>
      </c>
      <c r="M7" s="45">
        <v>3000</v>
      </c>
      <c r="N7" s="45">
        <v>3000</v>
      </c>
      <c r="O7" s="66">
        <v>3000</v>
      </c>
      <c r="P7" s="525"/>
      <c r="Q7" s="525"/>
      <c r="R7" s="525"/>
      <c r="S7" s="525"/>
      <c r="T7" s="525"/>
      <c r="U7" s="525"/>
      <c r="V7" s="525"/>
      <c r="W7" s="525"/>
      <c r="X7" s="525"/>
      <c r="Y7" s="525"/>
      <c r="Z7" s="525"/>
      <c r="AA7" s="525"/>
      <c r="AB7" s="525"/>
      <c r="AC7" s="525"/>
      <c r="AD7" s="525"/>
      <c r="AE7" s="525"/>
      <c r="AF7" s="525"/>
      <c r="AG7" s="525"/>
    </row>
    <row r="8" spans="1:33" ht="14.4" thickBot="1">
      <c r="A8" s="551" t="s">
        <v>445</v>
      </c>
      <c r="B8" s="30">
        <f t="shared" si="1"/>
        <v>19950.026037345458</v>
      </c>
      <c r="C8" s="62">
        <v>0.5</v>
      </c>
      <c r="D8" s="45">
        <v>25000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66"/>
      <c r="P8" s="525"/>
      <c r="Q8" s="525"/>
      <c r="R8" s="525"/>
      <c r="S8" s="525"/>
      <c r="T8" s="525"/>
      <c r="U8" s="525"/>
      <c r="V8" s="525"/>
      <c r="W8" s="525"/>
      <c r="X8" s="525"/>
      <c r="Y8" s="525"/>
      <c r="Z8" s="525"/>
      <c r="AA8" s="525"/>
      <c r="AB8" s="525"/>
      <c r="AC8" s="525"/>
      <c r="AD8" s="525"/>
      <c r="AE8" s="525"/>
      <c r="AF8" s="525"/>
      <c r="AG8" s="525"/>
    </row>
    <row r="9" spans="1:33" ht="14.4" thickBot="1">
      <c r="A9" s="551" t="s">
        <v>275</v>
      </c>
      <c r="B9" s="30">
        <f t="shared" si="1"/>
        <v>20122.912790594994</v>
      </c>
      <c r="C9" s="62">
        <v>1</v>
      </c>
      <c r="D9" s="45">
        <v>5000</v>
      </c>
      <c r="E9" s="45"/>
      <c r="F9" s="45"/>
      <c r="G9" s="45">
        <v>1200</v>
      </c>
      <c r="H9" s="45"/>
      <c r="I9" s="45"/>
      <c r="J9" s="45">
        <v>8500</v>
      </c>
      <c r="K9" s="45"/>
      <c r="L9" s="45"/>
      <c r="M9" s="45"/>
      <c r="N9" s="45"/>
      <c r="O9" s="66"/>
      <c r="P9" s="525"/>
      <c r="Q9" s="525"/>
      <c r="R9" s="525"/>
      <c r="S9" s="525"/>
      <c r="T9" s="525"/>
      <c r="U9" s="525"/>
      <c r="V9" s="525"/>
      <c r="W9" s="525"/>
      <c r="X9" s="525"/>
      <c r="Y9" s="525"/>
      <c r="Z9" s="525"/>
      <c r="AA9" s="525"/>
      <c r="AB9" s="525"/>
      <c r="AC9" s="525"/>
      <c r="AD9" s="525"/>
      <c r="AE9" s="525"/>
      <c r="AF9" s="525"/>
      <c r="AG9" s="525"/>
    </row>
    <row r="10" spans="1:33" ht="14.4" thickBot="1">
      <c r="A10" s="515" t="s">
        <v>678</v>
      </c>
      <c r="B10" s="30">
        <f>+'9.MdO'!B24</f>
        <v>1052425.9260772972</v>
      </c>
      <c r="C10" s="527"/>
      <c r="D10" s="528"/>
      <c r="E10" s="528"/>
      <c r="F10" s="528"/>
      <c r="G10" s="528"/>
      <c r="H10" s="528"/>
      <c r="I10" s="528"/>
      <c r="J10" s="528"/>
      <c r="K10" s="528"/>
      <c r="L10" s="528"/>
      <c r="M10" s="528"/>
      <c r="N10" s="528"/>
      <c r="O10" s="529"/>
      <c r="P10" s="525"/>
      <c r="Q10" s="525"/>
      <c r="R10" s="525"/>
      <c r="S10" s="525"/>
      <c r="T10" s="525"/>
      <c r="U10" s="525"/>
      <c r="V10" s="525"/>
      <c r="W10" s="525"/>
      <c r="X10" s="525"/>
      <c r="Y10" s="525"/>
      <c r="Z10" s="525"/>
      <c r="AA10" s="525"/>
      <c r="AB10" s="525"/>
      <c r="AC10" s="525"/>
      <c r="AD10" s="525"/>
      <c r="AE10" s="525"/>
      <c r="AF10" s="525"/>
      <c r="AG10" s="525"/>
    </row>
    <row r="11" spans="1:33" ht="14.4" thickBot="1">
      <c r="A11" s="551" t="s">
        <v>444</v>
      </c>
      <c r="B11" s="30">
        <f>+'9.MdO'!D24</f>
        <v>473591.66673478374</v>
      </c>
      <c r="C11" s="530"/>
      <c r="D11" s="531"/>
      <c r="E11" s="531"/>
      <c r="F11" s="531"/>
      <c r="G11" s="531"/>
      <c r="H11" s="531"/>
      <c r="I11" s="531"/>
      <c r="J11" s="531"/>
      <c r="K11" s="531"/>
      <c r="L11" s="531"/>
      <c r="M11" s="531"/>
      <c r="N11" s="531"/>
      <c r="O11" s="532"/>
      <c r="P11" s="525"/>
      <c r="Q11" s="525"/>
      <c r="R11" s="525"/>
      <c r="S11" s="525"/>
      <c r="T11" s="525"/>
      <c r="U11" s="525"/>
      <c r="V11" s="525"/>
      <c r="W11" s="525"/>
      <c r="X11" s="525"/>
      <c r="Y11" s="525"/>
      <c r="Z11" s="525"/>
      <c r="AA11" s="525"/>
      <c r="AB11" s="525"/>
      <c r="AC11" s="525"/>
      <c r="AD11" s="525"/>
      <c r="AE11" s="525"/>
      <c r="AF11" s="525"/>
      <c r="AG11" s="525"/>
    </row>
    <row r="12" spans="1:33" ht="14.4" thickBot="1">
      <c r="A12" s="551" t="s">
        <v>441</v>
      </c>
      <c r="B12" s="30">
        <f>+'9.MdO'!E24</f>
        <v>40000</v>
      </c>
      <c r="C12" s="533"/>
      <c r="D12" s="534"/>
      <c r="E12" s="534"/>
      <c r="F12" s="534"/>
      <c r="G12" s="534"/>
      <c r="H12" s="534"/>
      <c r="I12" s="534"/>
      <c r="J12" s="534"/>
      <c r="K12" s="534"/>
      <c r="L12" s="534"/>
      <c r="M12" s="534"/>
      <c r="N12" s="534"/>
      <c r="O12" s="535"/>
      <c r="P12" s="525"/>
      <c r="Q12" s="525"/>
      <c r="R12" s="525"/>
      <c r="S12" s="525"/>
      <c r="T12" s="525"/>
      <c r="U12" s="525"/>
      <c r="V12" s="525"/>
      <c r="W12" s="525"/>
      <c r="X12" s="525"/>
      <c r="Y12" s="525"/>
      <c r="Z12" s="525"/>
      <c r="AA12" s="525"/>
      <c r="AB12" s="525"/>
      <c r="AC12" s="525"/>
      <c r="AD12" s="525"/>
      <c r="AE12" s="525"/>
      <c r="AF12" s="525"/>
      <c r="AG12" s="525"/>
    </row>
    <row r="13" spans="1:33" ht="14.4" thickBot="1">
      <c r="A13" s="551" t="s">
        <v>276</v>
      </c>
      <c r="B13" s="30">
        <f>SUM(D13:O13)*C13</f>
        <v>0</v>
      </c>
      <c r="C13" s="62">
        <v>1</v>
      </c>
      <c r="D13" s="536"/>
      <c r="E13" s="536"/>
      <c r="F13" s="536"/>
      <c r="G13" s="536"/>
      <c r="H13" s="536"/>
      <c r="I13" s="536"/>
      <c r="J13" s="536"/>
      <c r="K13" s="536"/>
      <c r="L13" s="536"/>
      <c r="M13" s="536"/>
      <c r="N13" s="536"/>
      <c r="O13" s="537"/>
      <c r="P13" s="525"/>
      <c r="Q13" s="525"/>
      <c r="R13" s="525"/>
      <c r="S13" s="525"/>
      <c r="T13" s="525"/>
      <c r="U13" s="525"/>
      <c r="V13" s="525"/>
      <c r="W13" s="525"/>
      <c r="X13" s="525"/>
      <c r="Y13" s="525"/>
      <c r="Z13" s="525"/>
      <c r="AA13" s="525"/>
      <c r="AB13" s="525"/>
      <c r="AC13" s="525"/>
      <c r="AD13" s="525"/>
      <c r="AE13" s="525"/>
      <c r="AF13" s="525"/>
      <c r="AG13" s="525"/>
    </row>
    <row r="14" spans="1:33" ht="14.4" thickBot="1">
      <c r="A14" s="551" t="s">
        <v>277</v>
      </c>
      <c r="B14" s="30">
        <f t="shared" ref="B14" si="2">SUM(D14:O14)*C14</f>
        <v>0</v>
      </c>
      <c r="C14" s="62">
        <v>1</v>
      </c>
      <c r="D14" s="536"/>
      <c r="E14" s="536"/>
      <c r="F14" s="536"/>
      <c r="G14" s="536"/>
      <c r="H14" s="536"/>
      <c r="I14" s="536"/>
      <c r="J14" s="536"/>
      <c r="K14" s="536"/>
      <c r="L14" s="536"/>
      <c r="M14" s="536"/>
      <c r="N14" s="536"/>
      <c r="O14" s="537"/>
      <c r="P14" s="525"/>
      <c r="Q14" s="525"/>
      <c r="R14" s="525"/>
      <c r="S14" s="525"/>
      <c r="T14" s="525"/>
      <c r="U14" s="525"/>
      <c r="V14" s="525"/>
      <c r="W14" s="525"/>
      <c r="X14" s="525"/>
      <c r="Y14" s="525"/>
      <c r="Z14" s="525"/>
      <c r="AA14" s="525"/>
      <c r="AB14" s="525"/>
      <c r="AC14" s="525"/>
      <c r="AD14" s="525"/>
      <c r="AE14" s="525"/>
      <c r="AF14" s="525"/>
      <c r="AG14" s="525"/>
    </row>
    <row r="15" spans="1:33" ht="14.4" thickBot="1">
      <c r="A15" s="551" t="s">
        <v>442</v>
      </c>
      <c r="B15" s="30">
        <f>SUMPRODUCT($D$2:$O$2,D15:O15)*C15</f>
        <v>22906.165969420377</v>
      </c>
      <c r="C15" s="62">
        <v>1</v>
      </c>
      <c r="D15" s="45">
        <v>1500</v>
      </c>
      <c r="E15" s="45">
        <v>1500</v>
      </c>
      <c r="F15" s="45">
        <v>1500</v>
      </c>
      <c r="G15" s="45">
        <v>1500</v>
      </c>
      <c r="H15" s="45">
        <v>1500</v>
      </c>
      <c r="I15" s="45">
        <v>1500</v>
      </c>
      <c r="J15" s="45">
        <v>1500</v>
      </c>
      <c r="K15" s="45">
        <v>1500</v>
      </c>
      <c r="L15" s="45">
        <v>1500</v>
      </c>
      <c r="M15" s="45">
        <v>1500</v>
      </c>
      <c r="N15" s="45">
        <v>1500</v>
      </c>
      <c r="O15" s="66">
        <v>1500</v>
      </c>
      <c r="P15" s="525"/>
      <c r="Q15" s="525"/>
      <c r="R15" s="525"/>
      <c r="S15" s="525"/>
      <c r="T15" s="525"/>
      <c r="U15" s="525"/>
      <c r="V15" s="525"/>
      <c r="W15" s="525"/>
      <c r="X15" s="525"/>
      <c r="Y15" s="525"/>
      <c r="Z15" s="525"/>
      <c r="AA15" s="525"/>
      <c r="AB15" s="525"/>
      <c r="AC15" s="525"/>
      <c r="AD15" s="525"/>
      <c r="AE15" s="525"/>
      <c r="AF15" s="525"/>
      <c r="AG15" s="525"/>
    </row>
    <row r="16" spans="1:33" ht="14.4" thickBot="1">
      <c r="A16" s="551" t="s">
        <v>443</v>
      </c>
      <c r="B16" s="30">
        <f t="shared" ref="B16:B17" si="3">SUMPRODUCT($D$2:$O$2,D16:O16)*C16</f>
        <v>291658.63129882544</v>
      </c>
      <c r="C16" s="62">
        <v>1</v>
      </c>
      <c r="D16" s="45"/>
      <c r="E16" s="45">
        <v>15000</v>
      </c>
      <c r="F16" s="45"/>
      <c r="G16" s="45"/>
      <c r="H16" s="45">
        <v>9000</v>
      </c>
      <c r="I16" s="45"/>
      <c r="J16" s="45"/>
      <c r="K16" s="45"/>
      <c r="L16" s="45">
        <v>230000</v>
      </c>
      <c r="M16" s="45"/>
      <c r="N16" s="45"/>
      <c r="O16" s="66"/>
      <c r="P16" s="525"/>
      <c r="Q16" s="525" t="s">
        <v>685</v>
      </c>
      <c r="R16" s="525"/>
      <c r="S16" s="525"/>
      <c r="T16" s="525"/>
      <c r="U16" s="525"/>
      <c r="V16" s="525"/>
      <c r="W16" s="525"/>
      <c r="X16" s="525"/>
      <c r="Y16" s="525"/>
      <c r="Z16" s="525"/>
      <c r="AA16" s="525"/>
      <c r="AB16" s="525"/>
      <c r="AC16" s="525"/>
      <c r="AD16" s="525"/>
      <c r="AE16" s="525"/>
      <c r="AF16" s="525"/>
      <c r="AG16" s="525"/>
    </row>
    <row r="17" spans="1:33" ht="14.4" thickBot="1">
      <c r="A17" s="514" t="s">
        <v>683</v>
      </c>
      <c r="B17" s="30">
        <f t="shared" si="3"/>
        <v>33879.344752596611</v>
      </c>
      <c r="C17" s="62">
        <v>1</v>
      </c>
      <c r="D17" s="45"/>
      <c r="E17" s="45"/>
      <c r="F17" s="45"/>
      <c r="G17" s="45"/>
      <c r="H17" s="45">
        <v>25000</v>
      </c>
      <c r="I17" s="45"/>
      <c r="J17" s="45"/>
      <c r="K17" s="45"/>
      <c r="L17" s="45"/>
      <c r="M17" s="45"/>
      <c r="N17" s="45"/>
      <c r="O17" s="66"/>
      <c r="P17" s="525"/>
      <c r="Q17" s="525"/>
      <c r="R17" s="525"/>
      <c r="S17" s="525"/>
      <c r="T17" s="525"/>
      <c r="U17" s="525"/>
      <c r="V17" s="525"/>
      <c r="W17" s="525"/>
      <c r="X17" s="525"/>
      <c r="Y17" s="525"/>
      <c r="Z17" s="525"/>
      <c r="AA17" s="525"/>
      <c r="AB17" s="525"/>
      <c r="AC17" s="525"/>
      <c r="AD17" s="525"/>
      <c r="AE17" s="525"/>
      <c r="AF17" s="525"/>
      <c r="AG17" s="525"/>
    </row>
    <row r="18" spans="1:33" ht="15.6">
      <c r="A18" s="550" t="s">
        <v>278</v>
      </c>
      <c r="B18" s="549">
        <f>SUM(B5:B17)</f>
        <v>2029878.1172247739</v>
      </c>
      <c r="C18" s="559"/>
      <c r="D18" s="560"/>
      <c r="E18" s="560"/>
      <c r="F18" s="560"/>
      <c r="G18" s="560"/>
      <c r="H18" s="560"/>
      <c r="I18" s="560"/>
      <c r="J18" s="560"/>
      <c r="K18" s="560"/>
      <c r="L18" s="560"/>
      <c r="M18" s="560"/>
      <c r="N18" s="560"/>
      <c r="O18" s="561"/>
      <c r="P18" s="525"/>
      <c r="Q18" s="525"/>
      <c r="R18" s="525"/>
      <c r="S18" s="525"/>
      <c r="T18" s="525"/>
      <c r="U18" s="525"/>
      <c r="V18" s="525"/>
      <c r="W18" s="525"/>
      <c r="X18" s="525"/>
      <c r="Y18" s="525"/>
      <c r="Z18" s="525"/>
      <c r="AA18" s="525"/>
      <c r="AB18" s="525"/>
      <c r="AC18" s="525"/>
      <c r="AD18" s="525"/>
      <c r="AE18" s="525"/>
      <c r="AF18" s="525"/>
      <c r="AG18" s="525"/>
    </row>
    <row r="19" spans="1:33" ht="14.4" thickBot="1">
      <c r="A19" s="551" t="s">
        <v>279</v>
      </c>
      <c r="B19" s="30">
        <f>+'1.Datos'!B12*'1.Datos'!B22*C19</f>
        <v>360000</v>
      </c>
      <c r="C19" s="214">
        <v>1</v>
      </c>
      <c r="D19" s="562"/>
      <c r="E19" s="562"/>
      <c r="F19" s="562"/>
      <c r="G19" s="562"/>
      <c r="H19" s="562"/>
      <c r="I19" s="562"/>
      <c r="J19" s="562"/>
      <c r="K19" s="562"/>
      <c r="L19" s="562"/>
      <c r="M19" s="562"/>
      <c r="N19" s="562"/>
      <c r="O19" s="563"/>
      <c r="P19" s="525"/>
      <c r="Q19" s="525"/>
      <c r="R19" s="525"/>
      <c r="S19" s="525"/>
      <c r="T19" s="525"/>
      <c r="U19" s="525"/>
      <c r="V19" s="525"/>
      <c r="W19" s="525"/>
      <c r="X19" s="525"/>
      <c r="Y19" s="525"/>
      <c r="Z19" s="525"/>
      <c r="AA19" s="525"/>
      <c r="AB19" s="525"/>
      <c r="AC19" s="525"/>
      <c r="AD19" s="525"/>
      <c r="AE19" s="525"/>
      <c r="AF19" s="525"/>
      <c r="AG19" s="525"/>
    </row>
    <row r="20" spans="1:33" ht="16.2" thickBot="1">
      <c r="A20" s="550" t="s">
        <v>454</v>
      </c>
      <c r="B20" s="549">
        <f>+B18+B19</f>
        <v>2389878.1172247739</v>
      </c>
      <c r="C20" s="564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6"/>
      <c r="P20" s="525"/>
      <c r="Q20" s="525"/>
      <c r="R20" s="525"/>
      <c r="S20" s="525"/>
      <c r="T20" s="525"/>
      <c r="U20" s="525"/>
      <c r="V20" s="525"/>
      <c r="W20" s="525"/>
      <c r="X20" s="525"/>
      <c r="Y20" s="525"/>
      <c r="Z20" s="525"/>
      <c r="AA20" s="525"/>
      <c r="AB20" s="525"/>
      <c r="AC20" s="525"/>
      <c r="AD20" s="525"/>
      <c r="AE20" s="525"/>
      <c r="AF20" s="525"/>
      <c r="AG20" s="525"/>
    </row>
    <row r="21" spans="1:33" ht="28.5" customHeight="1" thickBot="1">
      <c r="A21" s="552" t="s">
        <v>280</v>
      </c>
      <c r="B21" s="553" t="s">
        <v>242</v>
      </c>
      <c r="C21" s="545" t="s">
        <v>469</v>
      </c>
      <c r="D21" s="546" t="s">
        <v>243</v>
      </c>
      <c r="E21" s="547" t="s">
        <v>244</v>
      </c>
      <c r="F21" s="547" t="s">
        <v>429</v>
      </c>
      <c r="G21" s="547" t="s">
        <v>245</v>
      </c>
      <c r="H21" s="547" t="s">
        <v>246</v>
      </c>
      <c r="I21" s="547" t="s">
        <v>247</v>
      </c>
      <c r="J21" s="547" t="s">
        <v>248</v>
      </c>
      <c r="K21" s="547" t="s">
        <v>249</v>
      </c>
      <c r="L21" s="547" t="s">
        <v>250</v>
      </c>
      <c r="M21" s="547" t="s">
        <v>251</v>
      </c>
      <c r="N21" s="547" t="s">
        <v>252</v>
      </c>
      <c r="O21" s="548" t="s">
        <v>253</v>
      </c>
      <c r="P21" s="525"/>
      <c r="Q21" s="525"/>
      <c r="R21" s="525"/>
      <c r="S21" s="525"/>
      <c r="T21" s="525"/>
      <c r="U21" s="525"/>
      <c r="V21" s="525"/>
      <c r="W21" s="525"/>
      <c r="X21" s="525"/>
      <c r="Y21" s="525"/>
      <c r="Z21" s="525"/>
      <c r="AA21" s="525"/>
      <c r="AB21" s="525"/>
      <c r="AC21" s="525"/>
      <c r="AD21" s="525"/>
      <c r="AE21" s="525"/>
      <c r="AF21" s="525"/>
      <c r="AG21" s="525"/>
    </row>
    <row r="22" spans="1:33" ht="14.4" thickBot="1">
      <c r="A22" s="515" t="s">
        <v>680</v>
      </c>
      <c r="B22" s="30">
        <f>SUMPRODUCT($D$2:$O$2,D22:O22)</f>
        <v>347232.8182162235</v>
      </c>
      <c r="C22" s="554"/>
      <c r="D22" s="45">
        <v>15000</v>
      </c>
      <c r="E22" s="45">
        <v>50000</v>
      </c>
      <c r="F22" s="45"/>
      <c r="G22" s="45">
        <v>50000</v>
      </c>
      <c r="H22" s="45"/>
      <c r="I22" s="45">
        <v>50000</v>
      </c>
      <c r="J22" s="45"/>
      <c r="K22" s="45">
        <v>50000</v>
      </c>
      <c r="L22" s="45"/>
      <c r="M22" s="45">
        <v>50000</v>
      </c>
      <c r="N22" s="45"/>
      <c r="O22" s="66"/>
      <c r="P22" s="525"/>
      <c r="Q22" s="525"/>
      <c r="R22" s="525"/>
      <c r="S22" s="525"/>
      <c r="T22" s="525"/>
      <c r="U22" s="525"/>
      <c r="V22" s="525"/>
      <c r="W22" s="525"/>
      <c r="X22" s="525"/>
      <c r="Y22" s="525"/>
      <c r="Z22" s="525"/>
      <c r="AA22" s="525"/>
      <c r="AB22" s="525"/>
      <c r="AC22" s="525"/>
      <c r="AD22" s="525"/>
      <c r="AE22" s="525"/>
      <c r="AF22" s="525"/>
      <c r="AG22" s="525"/>
    </row>
    <row r="23" spans="1:33" ht="14.4" thickBot="1">
      <c r="A23" s="551" t="s">
        <v>447</v>
      </c>
      <c r="B23" s="30">
        <f t="shared" ref="B23:B26" si="4">SUMPRODUCT($D$2:$O$2,D23:O23)</f>
        <v>0</v>
      </c>
      <c r="C23" s="554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66"/>
      <c r="P23" s="525"/>
      <c r="Q23" s="525"/>
      <c r="R23" s="525"/>
      <c r="S23" s="525"/>
      <c r="T23" s="525"/>
      <c r="U23" s="525"/>
      <c r="V23" s="525"/>
      <c r="W23" s="525"/>
      <c r="X23" s="525"/>
      <c r="Y23" s="525"/>
      <c r="Z23" s="525"/>
      <c r="AA23" s="525"/>
      <c r="AB23" s="525"/>
      <c r="AC23" s="525"/>
      <c r="AD23" s="525"/>
      <c r="AE23" s="525"/>
      <c r="AF23" s="525"/>
      <c r="AG23" s="525"/>
    </row>
    <row r="24" spans="1:33" ht="14.4" thickBot="1">
      <c r="A24" s="551" t="s">
        <v>281</v>
      </c>
      <c r="B24" s="30">
        <f t="shared" si="4"/>
        <v>18921.840480185314</v>
      </c>
      <c r="C24" s="554"/>
      <c r="D24" s="45"/>
      <c r="E24" s="45" t="s">
        <v>684</v>
      </c>
      <c r="F24" s="45"/>
      <c r="G24" s="45"/>
      <c r="H24" s="45">
        <v>4000</v>
      </c>
      <c r="I24" s="45"/>
      <c r="J24" s="45">
        <v>4000</v>
      </c>
      <c r="K24" s="45"/>
      <c r="L24" s="45">
        <v>4000</v>
      </c>
      <c r="M24" s="45"/>
      <c r="N24" s="45">
        <v>4000</v>
      </c>
      <c r="O24" s="66"/>
      <c r="P24" s="525"/>
      <c r="Q24" s="525"/>
      <c r="R24" s="525"/>
      <c r="S24" s="525"/>
      <c r="T24" s="525"/>
      <c r="U24" s="525"/>
      <c r="V24" s="525"/>
      <c r="W24" s="525"/>
      <c r="X24" s="525"/>
      <c r="Y24" s="525"/>
      <c r="Z24" s="525"/>
      <c r="AA24" s="525"/>
      <c r="AB24" s="525"/>
      <c r="AC24" s="525"/>
      <c r="AD24" s="525"/>
      <c r="AE24" s="525"/>
      <c r="AF24" s="525"/>
      <c r="AG24" s="525"/>
    </row>
    <row r="25" spans="1:33" ht="14.4" thickBot="1">
      <c r="A25" s="551" t="s">
        <v>448</v>
      </c>
      <c r="B25" s="30">
        <f t="shared" si="4"/>
        <v>51746.077966967074</v>
      </c>
      <c r="C25" s="554"/>
      <c r="D25" s="45"/>
      <c r="E25" s="45"/>
      <c r="F25" s="45">
        <v>35000</v>
      </c>
      <c r="G25" s="45"/>
      <c r="H25" s="45"/>
      <c r="I25" s="45"/>
      <c r="J25" s="45"/>
      <c r="K25" s="45"/>
      <c r="L25" s="45"/>
      <c r="M25" s="45"/>
      <c r="N25" s="45"/>
      <c r="O25" s="66"/>
      <c r="P25" s="525"/>
      <c r="Q25" s="525"/>
    </row>
    <row r="26" spans="1:33" ht="15" thickBot="1">
      <c r="A26" s="551" t="s">
        <v>282</v>
      </c>
      <c r="B26" s="30">
        <f t="shared" si="4"/>
        <v>0</v>
      </c>
      <c r="C26" s="554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66"/>
      <c r="P26" s="525"/>
      <c r="Q26" s="518"/>
      <c r="R26" s="518"/>
      <c r="S26" s="518"/>
      <c r="T26" s="518"/>
      <c r="U26" s="518"/>
      <c r="V26" s="518"/>
      <c r="W26" s="518"/>
      <c r="X26" s="518"/>
      <c r="Y26" s="518"/>
      <c r="Z26" s="518"/>
      <c r="AA26" s="518"/>
      <c r="AB26" s="518"/>
    </row>
    <row r="27" spans="1:33" ht="16.2" thickBot="1">
      <c r="A27" s="550" t="s">
        <v>283</v>
      </c>
      <c r="B27" s="549">
        <f>SUM(B22:B26)*C27</f>
        <v>417900.73666337586</v>
      </c>
      <c r="C27" s="62">
        <v>1</v>
      </c>
      <c r="D27" s="556"/>
      <c r="E27" s="557"/>
      <c r="F27" s="557"/>
      <c r="G27" s="557"/>
      <c r="H27" s="557"/>
      <c r="I27" s="557"/>
      <c r="J27" s="557"/>
      <c r="K27" s="557"/>
      <c r="L27" s="557"/>
      <c r="M27" s="557"/>
      <c r="N27" s="557"/>
      <c r="O27" s="558"/>
    </row>
    <row r="28" spans="1:33" ht="35.25" customHeight="1" thickBot="1">
      <c r="A28" s="552" t="s">
        <v>284</v>
      </c>
      <c r="B28" s="553" t="s">
        <v>242</v>
      </c>
      <c r="C28" s="545" t="s">
        <v>469</v>
      </c>
      <c r="D28" s="546" t="s">
        <v>243</v>
      </c>
      <c r="E28" s="547" t="s">
        <v>244</v>
      </c>
      <c r="F28" s="547" t="s">
        <v>429</v>
      </c>
      <c r="G28" s="547" t="s">
        <v>245</v>
      </c>
      <c r="H28" s="547" t="s">
        <v>246</v>
      </c>
      <c r="I28" s="547" t="s">
        <v>247</v>
      </c>
      <c r="J28" s="547" t="s">
        <v>248</v>
      </c>
      <c r="K28" s="547" t="s">
        <v>249</v>
      </c>
      <c r="L28" s="547" t="s">
        <v>250</v>
      </c>
      <c r="M28" s="547" t="s">
        <v>251</v>
      </c>
      <c r="N28" s="547" t="s">
        <v>252</v>
      </c>
      <c r="O28" s="548" t="s">
        <v>253</v>
      </c>
    </row>
    <row r="29" spans="1:33" ht="14.4" thickBot="1">
      <c r="A29" s="514" t="s">
        <v>446</v>
      </c>
      <c r="B29" s="64">
        <f t="shared" ref="B29:B30" si="5">SUMPRODUCT($D$2:$O$2,D29:O29)</f>
        <v>64810.048307691846</v>
      </c>
      <c r="C29" s="554"/>
      <c r="D29" s="45"/>
      <c r="E29" s="45"/>
      <c r="F29" s="45">
        <v>36000</v>
      </c>
      <c r="G29" s="45"/>
      <c r="H29" s="45"/>
      <c r="I29" s="45"/>
      <c r="J29" s="45"/>
      <c r="K29" s="45">
        <v>10000</v>
      </c>
      <c r="L29" s="45"/>
      <c r="M29" s="45"/>
      <c r="N29" s="45"/>
      <c r="O29" s="66"/>
    </row>
    <row r="30" spans="1:33" ht="14.4" thickBot="1">
      <c r="A30" s="514" t="s">
        <v>452</v>
      </c>
      <c r="B30" s="65">
        <f t="shared" si="5"/>
        <v>0</v>
      </c>
      <c r="C30" s="554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537"/>
    </row>
    <row r="31" spans="1:33" ht="16.2" thickBot="1">
      <c r="A31" s="550" t="s">
        <v>285</v>
      </c>
      <c r="B31" s="555">
        <f>SUM(B29:B30)*C31</f>
        <v>64810.048307691846</v>
      </c>
      <c r="C31" s="62">
        <v>1</v>
      </c>
      <c r="D31" s="556"/>
      <c r="E31" s="557"/>
      <c r="F31" s="557"/>
      <c r="G31" s="557"/>
      <c r="H31" s="557"/>
      <c r="I31" s="557"/>
      <c r="J31" s="557"/>
      <c r="K31" s="557"/>
      <c r="L31" s="557"/>
      <c r="M31" s="557"/>
      <c r="N31" s="557"/>
      <c r="O31" s="558"/>
    </row>
    <row r="32" spans="1:33" ht="33" customHeight="1" thickBot="1">
      <c r="A32" s="552" t="s">
        <v>286</v>
      </c>
      <c r="B32" s="553" t="s">
        <v>242</v>
      </c>
      <c r="C32" s="545" t="s">
        <v>469</v>
      </c>
      <c r="D32" s="546" t="s">
        <v>243</v>
      </c>
      <c r="E32" s="547" t="s">
        <v>244</v>
      </c>
      <c r="F32" s="547" t="s">
        <v>429</v>
      </c>
      <c r="G32" s="547" t="s">
        <v>245</v>
      </c>
      <c r="H32" s="547" t="s">
        <v>246</v>
      </c>
      <c r="I32" s="547" t="s">
        <v>247</v>
      </c>
      <c r="J32" s="547" t="s">
        <v>248</v>
      </c>
      <c r="K32" s="547" t="s">
        <v>249</v>
      </c>
      <c r="L32" s="547" t="s">
        <v>250</v>
      </c>
      <c r="M32" s="547" t="s">
        <v>251</v>
      </c>
      <c r="N32" s="547" t="s">
        <v>252</v>
      </c>
      <c r="O32" s="548" t="s">
        <v>253</v>
      </c>
    </row>
    <row r="33" spans="1:15" ht="14.4" thickBot="1">
      <c r="A33" s="514" t="s">
        <v>449</v>
      </c>
      <c r="B33" s="64">
        <f t="shared" ref="B33:B35" si="6">SUMPRODUCT($D$2:$O$2,D33:O33)</f>
        <v>724015.05424660305</v>
      </c>
      <c r="C33" s="554"/>
      <c r="D33" s="45">
        <v>90000</v>
      </c>
      <c r="E33" s="45">
        <v>50000</v>
      </c>
      <c r="F33" s="45"/>
      <c r="G33" s="45">
        <v>50000</v>
      </c>
      <c r="H33" s="45"/>
      <c r="I33" s="45">
        <v>120000</v>
      </c>
      <c r="J33" s="45"/>
      <c r="K33" s="45">
        <v>120000</v>
      </c>
      <c r="L33" s="45"/>
      <c r="M33" s="45">
        <v>130000</v>
      </c>
      <c r="N33" s="45"/>
      <c r="O33" s="66"/>
    </row>
    <row r="34" spans="1:15" ht="14.4" thickBot="1">
      <c r="A34" s="514" t="s">
        <v>450</v>
      </c>
      <c r="B34" s="65">
        <f t="shared" si="6"/>
        <v>725919.82397681696</v>
      </c>
      <c r="C34" s="554"/>
      <c r="D34" s="45"/>
      <c r="E34" s="45"/>
      <c r="F34" s="45">
        <v>200000</v>
      </c>
      <c r="G34" s="45"/>
      <c r="H34" s="45"/>
      <c r="I34" s="45"/>
      <c r="J34" s="45">
        <v>350000</v>
      </c>
      <c r="K34" s="45"/>
      <c r="L34" s="45"/>
      <c r="M34" s="45"/>
      <c r="N34" s="45"/>
      <c r="O34" s="66"/>
    </row>
    <row r="35" spans="1:15" ht="14.4" thickBot="1">
      <c r="A35" s="514" t="s">
        <v>451</v>
      </c>
      <c r="B35" s="65">
        <f t="shared" si="6"/>
        <v>0</v>
      </c>
      <c r="C35" s="554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66"/>
    </row>
    <row r="36" spans="1:15" ht="16.2" thickBot="1">
      <c r="A36" s="567" t="s">
        <v>287</v>
      </c>
      <c r="B36" s="52">
        <f>SUM(B33:B35)*C36</f>
        <v>1449934.8782234201</v>
      </c>
      <c r="C36" s="67">
        <v>1</v>
      </c>
      <c r="D36" s="556"/>
      <c r="E36" s="557"/>
      <c r="F36" s="557"/>
      <c r="G36" s="557"/>
      <c r="H36" s="557"/>
      <c r="I36" s="557"/>
      <c r="J36" s="557"/>
      <c r="K36" s="557"/>
      <c r="L36" s="557"/>
      <c r="M36" s="557"/>
      <c r="N36" s="557"/>
      <c r="O36" s="558"/>
    </row>
    <row r="40" spans="1:15" ht="15.6">
      <c r="A40" s="539" t="s">
        <v>419</v>
      </c>
    </row>
    <row r="41" spans="1:15" ht="14.4">
      <c r="A41" s="540" t="s">
        <v>484</v>
      </c>
      <c r="B41" s="518"/>
      <c r="C41" s="518"/>
      <c r="D41" s="518"/>
      <c r="E41" s="518"/>
      <c r="F41" s="518"/>
      <c r="G41" s="518"/>
      <c r="H41" s="518"/>
      <c r="I41" s="518"/>
      <c r="J41" s="518"/>
      <c r="K41" s="518"/>
      <c r="L41" s="518"/>
      <c r="M41" s="518"/>
    </row>
    <row r="42" spans="1:15">
      <c r="A42" s="541" t="s">
        <v>481</v>
      </c>
    </row>
    <row r="43" spans="1:15">
      <c r="A43" s="540" t="s">
        <v>485</v>
      </c>
    </row>
    <row r="44" spans="1:15">
      <c r="A44" s="542" t="s">
        <v>483</v>
      </c>
    </row>
    <row r="45" spans="1:15">
      <c r="A45" s="542" t="s">
        <v>617</v>
      </c>
    </row>
    <row r="46" spans="1:15">
      <c r="A46" s="542" t="s">
        <v>679</v>
      </c>
    </row>
    <row r="47" spans="1:15">
      <c r="A47" s="542"/>
    </row>
  </sheetData>
  <sheetProtection algorithmName="SHA-512" hashValue="dFrgiflz25HfeJJ2xKD8jRvHxt4mb25tiBod5xIeJiwOJckm2L7hdrzTB+6XJou+2wVY8jZ0HuaZCf28tvcuYg==" saltValue="z/utEcpbEY80auV04zOIng==" spinCount="100000" sheet="1" objects="1" scenarios="1" selectLockedCells="1"/>
  <protectedRanges>
    <protectedRange password="90AE" sqref="C5:O9 C13:O17 C19 D22:O26 C27 D29:N30 C31 D33:O35 C36" name="Rango1"/>
  </protectedRanges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zoomScale="90" zoomScaleNormal="90" workbookViewId="0">
      <selection activeCell="B8" sqref="B8"/>
    </sheetView>
  </sheetViews>
  <sheetFormatPr baseColWidth="10" defaultColWidth="11.44140625" defaultRowHeight="13.8"/>
  <cols>
    <col min="1" max="1" width="52.5546875" style="16" customWidth="1"/>
    <col min="2" max="2" width="12.6640625" style="8" customWidth="1"/>
    <col min="3" max="3" width="10.6640625" style="8" customWidth="1"/>
    <col min="4" max="4" width="11.44140625" style="8" customWidth="1"/>
    <col min="5" max="16384" width="11.44140625" style="8"/>
  </cols>
  <sheetData>
    <row r="1" spans="1:8" ht="25.5" customHeight="1">
      <c r="A1" s="902" t="s">
        <v>657</v>
      </c>
      <c r="B1" s="903"/>
      <c r="C1" s="903"/>
      <c r="D1" s="904"/>
    </row>
    <row r="2" spans="1:8" ht="14.4" thickBot="1">
      <c r="A2" s="19"/>
      <c r="D2" s="20"/>
    </row>
    <row r="3" spans="1:8" ht="15.6">
      <c r="A3" s="731" t="s">
        <v>397</v>
      </c>
      <c r="B3" s="732" t="s">
        <v>417</v>
      </c>
      <c r="C3" s="732" t="s">
        <v>416</v>
      </c>
      <c r="D3" s="733" t="s">
        <v>455</v>
      </c>
    </row>
    <row r="4" spans="1:8">
      <c r="A4" s="68" t="s">
        <v>293</v>
      </c>
      <c r="B4" s="210">
        <f>+'2.Invent'!$I$89</f>
        <v>6675000</v>
      </c>
      <c r="C4" s="210">
        <f>+B4/'1.Datos'!$L$9</f>
        <v>47678.571428571428</v>
      </c>
      <c r="D4" s="211">
        <f>+B4/'5.Indices'!$C$12</f>
        <v>21428.571428571428</v>
      </c>
    </row>
    <row r="5" spans="1:8">
      <c r="A5" s="68" t="s">
        <v>294</v>
      </c>
      <c r="B5" s="210">
        <f>+'2.Invent'!$I$58</f>
        <v>0</v>
      </c>
      <c r="C5" s="210">
        <f>+B5/'1.Datos'!$L$9</f>
        <v>0</v>
      </c>
      <c r="D5" s="211">
        <f>+B5/'5.Indices'!$C$12</f>
        <v>0</v>
      </c>
    </row>
    <row r="6" spans="1:8">
      <c r="A6" s="68" t="s">
        <v>295</v>
      </c>
      <c r="B6" s="210">
        <f>+'2.Invent'!O23-'2.Invent'!G23</f>
        <v>12441200</v>
      </c>
      <c r="C6" s="210">
        <f>+B6/'1.Datos'!$L$9</f>
        <v>88865.71428571429</v>
      </c>
      <c r="D6" s="211">
        <f>+B6/'5.Indices'!$C$12</f>
        <v>39939.646869983946</v>
      </c>
    </row>
    <row r="7" spans="1:8">
      <c r="A7" s="734" t="s">
        <v>296</v>
      </c>
      <c r="B7" s="735">
        <f>+B4+B5+B6</f>
        <v>19116200</v>
      </c>
      <c r="C7" s="735">
        <f>B7/'1.Datos'!$L$9</f>
        <v>136544.28571428571</v>
      </c>
      <c r="D7" s="736">
        <f>B7/'5.Indices'!$C$12</f>
        <v>61368.218298555374</v>
      </c>
      <c r="E7" s="21"/>
    </row>
    <row r="8" spans="1:8">
      <c r="A8" s="68" t="s">
        <v>374</v>
      </c>
      <c r="B8" s="210">
        <f>'10.GD'!C38</f>
        <v>4522236.4894663962</v>
      </c>
      <c r="C8" s="210">
        <f>B8/'1.Datos'!$L$9</f>
        <v>32301.689210474258</v>
      </c>
      <c r="D8" s="211">
        <f>B8/'5.Indices'!$C$12</f>
        <v>14517.613128303037</v>
      </c>
      <c r="E8" s="22"/>
    </row>
    <row r="9" spans="1:8">
      <c r="A9" s="68" t="s">
        <v>658</v>
      </c>
      <c r="B9" s="210">
        <f>'7.Bienes'!D64</f>
        <v>511578</v>
      </c>
      <c r="C9" s="210">
        <f>B9/'1.Datos'!$L$9</f>
        <v>3654.1285714285714</v>
      </c>
      <c r="D9" s="211">
        <f>B9/'5.Indices'!$C$12</f>
        <v>1642.3049759229534</v>
      </c>
      <c r="E9" s="22"/>
    </row>
    <row r="10" spans="1:8">
      <c r="A10" s="734" t="s">
        <v>297</v>
      </c>
      <c r="B10" s="735">
        <f>B7-B8-B9</f>
        <v>14082385.510533605</v>
      </c>
      <c r="C10" s="735">
        <f>B10/'1.Datos'!$L$9</f>
        <v>100588.46793238289</v>
      </c>
      <c r="D10" s="736">
        <f>B10/'5.Indices'!$C$12</f>
        <v>45208.300194329386</v>
      </c>
    </row>
    <row r="11" spans="1:8">
      <c r="A11" s="68" t="s">
        <v>459</v>
      </c>
      <c r="B11" s="210">
        <f>'11.Estr'!B18</f>
        <v>2029878.1172247739</v>
      </c>
      <c r="C11" s="210">
        <f>B11/'1.Datos'!$L$9</f>
        <v>14499.129408748384</v>
      </c>
      <c r="D11" s="211">
        <f>B11/'5.Indices'!$C$12</f>
        <v>6516.4626556172516</v>
      </c>
      <c r="E11" s="22"/>
      <c r="F11" s="22"/>
      <c r="H11" s="22"/>
    </row>
    <row r="12" spans="1:8">
      <c r="A12" s="68" t="s">
        <v>458</v>
      </c>
      <c r="B12" s="210">
        <f>'11.Estr'!B27</f>
        <v>417900.73666337586</v>
      </c>
      <c r="C12" s="210">
        <f>B12/'1.Datos'!$L$9</f>
        <v>2985.005261881256</v>
      </c>
      <c r="D12" s="211">
        <f>B12/'5.Indices'!$C$12</f>
        <v>1341.5753985983174</v>
      </c>
      <c r="E12" s="22"/>
      <c r="F12" s="21"/>
      <c r="H12" s="21"/>
    </row>
    <row r="13" spans="1:8">
      <c r="A13" s="734" t="s">
        <v>288</v>
      </c>
      <c r="B13" s="735">
        <f>+B10-B11-B12</f>
        <v>11634606.656645456</v>
      </c>
      <c r="C13" s="735">
        <f>+B13/'1.Datos'!$L$9</f>
        <v>83104.333261753258</v>
      </c>
      <c r="D13" s="736">
        <f>B13/'5.Indices'!$C$12</f>
        <v>37350.262140113824</v>
      </c>
      <c r="E13" s="21"/>
      <c r="F13" s="21"/>
      <c r="G13" s="22"/>
      <c r="H13" s="21"/>
    </row>
    <row r="14" spans="1:8">
      <c r="A14" s="68" t="s">
        <v>460</v>
      </c>
      <c r="B14" s="210">
        <f>'11.Estr'!B19</f>
        <v>360000</v>
      </c>
      <c r="C14" s="210">
        <f>B14/'1.Datos'!$L$9</f>
        <v>2571.4285714285716</v>
      </c>
      <c r="D14" s="211">
        <f>B14/'5.Indices'!$C$12</f>
        <v>1155.6982343499196</v>
      </c>
      <c r="E14" s="22"/>
    </row>
    <row r="15" spans="1:8">
      <c r="A15" s="734" t="s">
        <v>289</v>
      </c>
      <c r="B15" s="735">
        <f>+B13-B14</f>
        <v>11274606.656645456</v>
      </c>
      <c r="C15" s="735">
        <f>+B15/'1.Datos'!$L$9</f>
        <v>80532.904690324693</v>
      </c>
      <c r="D15" s="736">
        <f>+B15/'5.Indices'!$C$12</f>
        <v>36194.563905763905</v>
      </c>
      <c r="E15" s="22"/>
    </row>
    <row r="16" spans="1:8">
      <c r="A16" s="68" t="s">
        <v>461</v>
      </c>
      <c r="B16" s="210">
        <f>+'7.Bienes'!D63+'7.Bienes'!D65</f>
        <v>778488.4</v>
      </c>
      <c r="C16" s="210">
        <f>+B16/'1.Datos'!$L$9</f>
        <v>5560.6314285714288</v>
      </c>
      <c r="D16" s="211">
        <f>+B16/'5.Indices'!$C$12</f>
        <v>2499.1601926163726</v>
      </c>
    </row>
    <row r="17" spans="1:7">
      <c r="A17" s="734" t="s">
        <v>290</v>
      </c>
      <c r="B17" s="735">
        <f>+B15-B16</f>
        <v>10496118.256645456</v>
      </c>
      <c r="C17" s="735">
        <f>+B17/'1.Datos'!$L$9</f>
        <v>74972.27326175326</v>
      </c>
      <c r="D17" s="736">
        <f>+B17/'5.Indices'!$C$12</f>
        <v>33695.403713147534</v>
      </c>
      <c r="E17" s="21"/>
    </row>
    <row r="18" spans="1:7">
      <c r="A18" s="68" t="s">
        <v>462</v>
      </c>
      <c r="B18" s="210">
        <f>'11.Estr'!B31</f>
        <v>64810.048307691846</v>
      </c>
      <c r="C18" s="210">
        <f>B18/'1.Datos'!$L$9</f>
        <v>462.92891648351321</v>
      </c>
      <c r="D18" s="211">
        <f>B18/'5.Indices'!$C$12</f>
        <v>208.05793999259021</v>
      </c>
    </row>
    <row r="19" spans="1:7">
      <c r="A19" s="734" t="s">
        <v>291</v>
      </c>
      <c r="B19" s="735">
        <f>+B17-B18</f>
        <v>10431308.208337763</v>
      </c>
      <c r="C19" s="735">
        <f>+B19/'1.Datos'!$L$9</f>
        <v>74509.344345269739</v>
      </c>
      <c r="D19" s="736">
        <f>+B19/'5.Indices'!$C$12</f>
        <v>33487.345773154935</v>
      </c>
    </row>
    <row r="20" spans="1:7">
      <c r="A20" s="68" t="s">
        <v>463</v>
      </c>
      <c r="B20" s="210">
        <f>'11.Estr'!B36</f>
        <v>1449934.8782234201</v>
      </c>
      <c r="C20" s="210">
        <f>B20/'1.Datos'!$L$9</f>
        <v>10356.677701595858</v>
      </c>
      <c r="D20" s="211">
        <f>B20/'5.Indices'!$C$12</f>
        <v>4654.6866074588124</v>
      </c>
    </row>
    <row r="21" spans="1:7" ht="14.4" thickBot="1">
      <c r="A21" s="737" t="s">
        <v>292</v>
      </c>
      <c r="B21" s="738">
        <f>+B19-B20</f>
        <v>8981373.3301143423</v>
      </c>
      <c r="C21" s="738">
        <f>+B21/'1.Datos'!$L$9</f>
        <v>64152.666643673874</v>
      </c>
      <c r="D21" s="739">
        <f>+B21/'5.Indices'!$C$12</f>
        <v>28832.659165696125</v>
      </c>
    </row>
    <row r="22" spans="1:7">
      <c r="A22" s="19"/>
    </row>
    <row r="23" spans="1:7" ht="14.4" thickBot="1">
      <c r="A23" s="905" t="s">
        <v>398</v>
      </c>
      <c r="B23" s="905"/>
      <c r="C23" s="23"/>
    </row>
    <row r="24" spans="1:7" ht="15" thickBot="1">
      <c r="A24" s="551" t="s">
        <v>464</v>
      </c>
      <c r="B24" s="740">
        <f>'7.Bienes'!I46</f>
        <v>953964</v>
      </c>
      <c r="C24"/>
    </row>
    <row r="25" spans="1:7" ht="15" thickBot="1">
      <c r="A25" s="551"/>
      <c r="B25" s="740"/>
      <c r="C25"/>
    </row>
    <row r="26" spans="1:7">
      <c r="A26" s="8"/>
    </row>
    <row r="27" spans="1:7" ht="15" thickBot="1">
      <c r="A27" s="906" t="s">
        <v>298</v>
      </c>
      <c r="B27" s="906"/>
      <c r="C27"/>
    </row>
    <row r="28" spans="1:7" ht="14.4" thickBot="1">
      <c r="A28" s="551" t="s">
        <v>465</v>
      </c>
      <c r="B28" s="740">
        <f>+'7.Bienes'!C68-'7.Bienes'!C62</f>
        <v>32942830.303345591</v>
      </c>
      <c r="C28" s="741">
        <f>+B28/B30</f>
        <v>0.34789149503520211</v>
      </c>
    </row>
    <row r="29" spans="1:7" ht="14.4" thickBot="1">
      <c r="A29" s="551" t="s">
        <v>466</v>
      </c>
      <c r="B29" s="740">
        <f>+'7.Bienes'!C62</f>
        <v>61750000</v>
      </c>
      <c r="C29" s="741">
        <f>+B29/B30</f>
        <v>0.65210850496479789</v>
      </c>
      <c r="G29" s="363"/>
    </row>
    <row r="30" spans="1:7" ht="14.4" thickBot="1">
      <c r="A30" s="551" t="s">
        <v>467</v>
      </c>
      <c r="B30" s="740">
        <f>+B28+B29</f>
        <v>94692830.303345591</v>
      </c>
      <c r="C30" s="741">
        <f>+C29+C28</f>
        <v>1</v>
      </c>
    </row>
    <row r="31" spans="1:7">
      <c r="A31" s="19"/>
      <c r="B31" s="23"/>
      <c r="C31" s="23"/>
    </row>
    <row r="32" spans="1:7" ht="14.4" thickBot="1">
      <c r="A32" s="905" t="s">
        <v>299</v>
      </c>
      <c r="B32" s="905"/>
      <c r="C32" s="23"/>
    </row>
    <row r="33" spans="1:3" ht="14.4" thickBot="1">
      <c r="A33" s="551" t="s">
        <v>399</v>
      </c>
      <c r="B33" s="742">
        <f>+B17/B28</f>
        <v>0.31861616503483908</v>
      </c>
      <c r="C33" s="23"/>
    </row>
    <row r="34" spans="1:3" ht="14.4" thickBot="1">
      <c r="A34" s="551" t="s">
        <v>400</v>
      </c>
      <c r="B34" s="742">
        <f>+B17/B30</f>
        <v>0.11084385399635285</v>
      </c>
      <c r="C34" s="23"/>
    </row>
    <row r="35" spans="1:3">
      <c r="A35" s="24"/>
      <c r="B35" s="21"/>
      <c r="C35" s="23"/>
    </row>
    <row r="38" spans="1:3" ht="15.6">
      <c r="A38" s="411" t="s">
        <v>486</v>
      </c>
    </row>
    <row r="39" spans="1:3">
      <c r="A39" s="412" t="s">
        <v>487</v>
      </c>
    </row>
    <row r="40" spans="1:3">
      <c r="A40" s="412" t="s">
        <v>681</v>
      </c>
    </row>
  </sheetData>
  <sheetProtection password="CF47" sheet="1" objects="1" scenarios="1"/>
  <mergeCells count="4">
    <mergeCell ref="A1:D1"/>
    <mergeCell ref="A23:B23"/>
    <mergeCell ref="A32:B32"/>
    <mergeCell ref="A27:B27"/>
  </mergeCells>
  <conditionalFormatting sqref="B35">
    <cfRule type="cellIs" dxfId="0" priority="6" stopIfTrue="1" operator="between">
      <formula>-0.00000000001</formula>
      <formula>-111111111111111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7"/>
  <sheetViews>
    <sheetView showGridLines="0" workbookViewId="0">
      <selection activeCell="H27" sqref="H27"/>
    </sheetView>
  </sheetViews>
  <sheetFormatPr baseColWidth="10" defaultColWidth="11.44140625" defaultRowHeight="14.4"/>
  <cols>
    <col min="1" max="1" width="11.44140625" style="493"/>
    <col min="2" max="2" width="68.6640625" style="502" customWidth="1"/>
    <col min="3" max="16384" width="11.44140625" style="493"/>
  </cols>
  <sheetData>
    <row r="1" spans="2:3" ht="18">
      <c r="B1" s="492" t="s">
        <v>608</v>
      </c>
    </row>
    <row r="3" spans="2:3" ht="31.2">
      <c r="B3" s="494" t="s">
        <v>650</v>
      </c>
      <c r="C3" s="495" t="s">
        <v>509</v>
      </c>
    </row>
    <row r="4" spans="2:3" ht="15.6">
      <c r="B4" s="496" t="s">
        <v>510</v>
      </c>
      <c r="C4" s="497">
        <v>50</v>
      </c>
    </row>
    <row r="5" spans="2:3" ht="15.6">
      <c r="B5" s="496" t="s">
        <v>511</v>
      </c>
      <c r="C5" s="497">
        <v>40</v>
      </c>
    </row>
    <row r="6" spans="2:3" ht="15.6">
      <c r="B6" s="496" t="s">
        <v>512</v>
      </c>
      <c r="C6" s="497">
        <v>30</v>
      </c>
    </row>
    <row r="7" spans="2:3" ht="15.6">
      <c r="B7" s="907" t="s">
        <v>651</v>
      </c>
      <c r="C7" s="908"/>
    </row>
    <row r="8" spans="2:3" ht="15.6">
      <c r="B8" s="496" t="s">
        <v>513</v>
      </c>
      <c r="C8" s="497">
        <v>30</v>
      </c>
    </row>
    <row r="9" spans="2:3" ht="15.6">
      <c r="B9" s="496" t="s">
        <v>514</v>
      </c>
      <c r="C9" s="497">
        <v>50</v>
      </c>
    </row>
    <row r="10" spans="2:3" ht="15.6">
      <c r="B10" s="496" t="s">
        <v>515</v>
      </c>
      <c r="C10" s="497">
        <v>30</v>
      </c>
    </row>
    <row r="11" spans="2:3" ht="15.6">
      <c r="B11" s="496" t="s">
        <v>320</v>
      </c>
      <c r="C11" s="497">
        <v>30</v>
      </c>
    </row>
    <row r="12" spans="2:3" ht="15.6">
      <c r="B12" s="496" t="s">
        <v>516</v>
      </c>
      <c r="C12" s="497">
        <v>25</v>
      </c>
    </row>
    <row r="13" spans="2:3" ht="15.6">
      <c r="B13" s="496" t="s">
        <v>517</v>
      </c>
      <c r="C13" s="497">
        <v>20</v>
      </c>
    </row>
    <row r="14" spans="2:3" ht="15.6">
      <c r="B14" s="907" t="s">
        <v>652</v>
      </c>
      <c r="C14" s="908"/>
    </row>
    <row r="15" spans="2:3" ht="15.6">
      <c r="B15" s="496" t="s">
        <v>518</v>
      </c>
      <c r="C15" s="497">
        <v>50</v>
      </c>
    </row>
    <row r="16" spans="2:3" ht="15.6">
      <c r="B16" s="496" t="s">
        <v>519</v>
      </c>
      <c r="C16" s="497">
        <v>30</v>
      </c>
    </row>
    <row r="17" spans="2:3" ht="15.6">
      <c r="B17" s="496" t="s">
        <v>520</v>
      </c>
      <c r="C17" s="497">
        <v>20</v>
      </c>
    </row>
    <row r="18" spans="2:3" ht="15.6">
      <c r="B18" s="496" t="s">
        <v>521</v>
      </c>
      <c r="C18" s="497">
        <v>10</v>
      </c>
    </row>
    <row r="19" spans="2:3" ht="15.6">
      <c r="B19" s="496" t="s">
        <v>522</v>
      </c>
      <c r="C19" s="497">
        <v>40</v>
      </c>
    </row>
    <row r="20" spans="2:3" ht="15.6">
      <c r="B20" s="496" t="s">
        <v>523</v>
      </c>
      <c r="C20" s="497">
        <v>50</v>
      </c>
    </row>
    <row r="21" spans="2:3" ht="15.6">
      <c r="B21" s="496" t="s">
        <v>524</v>
      </c>
      <c r="C21" s="497">
        <v>30</v>
      </c>
    </row>
    <row r="22" spans="2:3" ht="15.6">
      <c r="B22" s="496" t="s">
        <v>525</v>
      </c>
      <c r="C22" s="497">
        <v>40</v>
      </c>
    </row>
    <row r="23" spans="2:3" ht="15.6">
      <c r="B23" s="496" t="s">
        <v>526</v>
      </c>
      <c r="C23" s="497">
        <v>40</v>
      </c>
    </row>
    <row r="24" spans="2:3" ht="15.6">
      <c r="B24" s="496" t="s">
        <v>527</v>
      </c>
      <c r="C24" s="497">
        <v>10</v>
      </c>
    </row>
    <row r="26" spans="2:3">
      <c r="B26" s="503" t="s">
        <v>653</v>
      </c>
      <c r="C26" s="498" t="s">
        <v>528</v>
      </c>
    </row>
    <row r="27" spans="2:3">
      <c r="B27" s="499" t="s">
        <v>529</v>
      </c>
      <c r="C27" s="500">
        <v>15</v>
      </c>
    </row>
    <row r="28" spans="2:3">
      <c r="B28" s="499" t="s">
        <v>530</v>
      </c>
      <c r="C28" s="500">
        <v>10</v>
      </c>
    </row>
    <row r="29" spans="2:3">
      <c r="B29" s="499" t="s">
        <v>531</v>
      </c>
      <c r="C29" s="500">
        <v>20</v>
      </c>
    </row>
    <row r="30" spans="2:3">
      <c r="B30" s="499" t="s">
        <v>532</v>
      </c>
      <c r="C30" s="500">
        <v>15</v>
      </c>
    </row>
    <row r="31" spans="2:3">
      <c r="B31" s="499" t="s">
        <v>533</v>
      </c>
      <c r="C31" s="500">
        <v>15</v>
      </c>
    </row>
    <row r="32" spans="2:3">
      <c r="B32" s="499" t="s">
        <v>534</v>
      </c>
      <c r="C32" s="500">
        <v>15</v>
      </c>
    </row>
    <row r="33" spans="2:3">
      <c r="B33" s="499" t="s">
        <v>535</v>
      </c>
      <c r="C33" s="500">
        <v>15</v>
      </c>
    </row>
    <row r="34" spans="2:3">
      <c r="B34" s="499" t="s">
        <v>536</v>
      </c>
      <c r="C34" s="500">
        <v>15</v>
      </c>
    </row>
    <row r="35" spans="2:3">
      <c r="B35" s="499" t="s">
        <v>537</v>
      </c>
      <c r="C35" s="500">
        <v>15</v>
      </c>
    </row>
    <row r="36" spans="2:3">
      <c r="B36" s="499" t="s">
        <v>538</v>
      </c>
      <c r="C36" s="500">
        <v>15</v>
      </c>
    </row>
    <row r="37" spans="2:3">
      <c r="B37" s="499" t="s">
        <v>539</v>
      </c>
      <c r="C37" s="500">
        <v>15</v>
      </c>
    </row>
    <row r="38" spans="2:3">
      <c r="B38" s="499" t="s">
        <v>540</v>
      </c>
      <c r="C38" s="500">
        <v>15</v>
      </c>
    </row>
    <row r="39" spans="2:3">
      <c r="B39" s="499" t="s">
        <v>541</v>
      </c>
      <c r="C39" s="500">
        <v>15</v>
      </c>
    </row>
    <row r="40" spans="2:3">
      <c r="B40" s="499" t="s">
        <v>542</v>
      </c>
      <c r="C40" s="500">
        <v>15</v>
      </c>
    </row>
    <row r="41" spans="2:3">
      <c r="B41" s="499" t="s">
        <v>543</v>
      </c>
      <c r="C41" s="500">
        <v>15</v>
      </c>
    </row>
    <row r="42" spans="2:3">
      <c r="B42" s="499" t="s">
        <v>544</v>
      </c>
      <c r="C42" s="500">
        <v>15</v>
      </c>
    </row>
    <row r="43" spans="2:3">
      <c r="B43" s="499" t="s">
        <v>545</v>
      </c>
      <c r="C43" s="500">
        <v>15</v>
      </c>
    </row>
    <row r="44" spans="2:3">
      <c r="B44" s="499" t="s">
        <v>546</v>
      </c>
      <c r="C44" s="500">
        <v>15</v>
      </c>
    </row>
    <row r="45" spans="2:3">
      <c r="B45" s="499" t="s">
        <v>547</v>
      </c>
      <c r="C45" s="500">
        <v>20</v>
      </c>
    </row>
    <row r="46" spans="2:3">
      <c r="B46" s="499" t="s">
        <v>548</v>
      </c>
      <c r="C46" s="500">
        <v>20</v>
      </c>
    </row>
    <row r="47" spans="2:3">
      <c r="B47" s="499" t="s">
        <v>549</v>
      </c>
      <c r="C47" s="500">
        <v>20</v>
      </c>
    </row>
    <row r="48" spans="2:3">
      <c r="B48" s="499" t="s">
        <v>550</v>
      </c>
      <c r="C48" s="500">
        <v>15</v>
      </c>
    </row>
    <row r="49" spans="2:3">
      <c r="B49" s="499" t="s">
        <v>551</v>
      </c>
      <c r="C49" s="500">
        <v>20</v>
      </c>
    </row>
    <row r="50" spans="2:3">
      <c r="B50" s="499" t="s">
        <v>552</v>
      </c>
      <c r="C50" s="500">
        <v>15</v>
      </c>
    </row>
    <row r="51" spans="2:3">
      <c r="B51" s="499" t="s">
        <v>553</v>
      </c>
      <c r="C51" s="500">
        <v>15</v>
      </c>
    </row>
    <row r="52" spans="2:3">
      <c r="B52" s="499" t="s">
        <v>554</v>
      </c>
      <c r="C52" s="500">
        <v>15</v>
      </c>
    </row>
    <row r="53" spans="2:3">
      <c r="B53" s="499" t="s">
        <v>555</v>
      </c>
      <c r="C53" s="500">
        <v>15</v>
      </c>
    </row>
    <row r="54" spans="2:3">
      <c r="B54" s="499" t="s">
        <v>556</v>
      </c>
      <c r="C54" s="500">
        <v>10</v>
      </c>
    </row>
    <row r="55" spans="2:3">
      <c r="B55" s="499" t="s">
        <v>557</v>
      </c>
      <c r="C55" s="500">
        <v>10</v>
      </c>
    </row>
    <row r="56" spans="2:3">
      <c r="B56" s="499" t="s">
        <v>558</v>
      </c>
      <c r="C56" s="500">
        <v>20</v>
      </c>
    </row>
    <row r="57" spans="2:3">
      <c r="B57" s="499" t="s">
        <v>559</v>
      </c>
      <c r="C57" s="500">
        <v>10</v>
      </c>
    </row>
    <row r="58" spans="2:3">
      <c r="B58" s="499" t="s">
        <v>560</v>
      </c>
      <c r="C58" s="500">
        <v>10</v>
      </c>
    </row>
    <row r="59" spans="2:3">
      <c r="B59" s="499" t="s">
        <v>561</v>
      </c>
      <c r="C59" s="500">
        <v>15</v>
      </c>
    </row>
    <row r="60" spans="2:3">
      <c r="B60" s="499" t="s">
        <v>562</v>
      </c>
      <c r="C60" s="500">
        <v>15</v>
      </c>
    </row>
    <row r="61" spans="2:3">
      <c r="B61" s="499" t="s">
        <v>563</v>
      </c>
      <c r="C61" s="500">
        <v>10</v>
      </c>
    </row>
    <row r="62" spans="2:3">
      <c r="B62" s="499" t="s">
        <v>564</v>
      </c>
      <c r="C62" s="500">
        <v>10</v>
      </c>
    </row>
    <row r="63" spans="2:3">
      <c r="B63" s="499" t="s">
        <v>565</v>
      </c>
      <c r="C63" s="500">
        <v>10</v>
      </c>
    </row>
    <row r="64" spans="2:3">
      <c r="B64" s="499" t="s">
        <v>566</v>
      </c>
      <c r="C64" s="500">
        <v>15</v>
      </c>
    </row>
    <row r="65" spans="2:3">
      <c r="B65" s="499" t="s">
        <v>567</v>
      </c>
      <c r="C65" s="500">
        <v>15</v>
      </c>
    </row>
    <row r="66" spans="2:3">
      <c r="B66" s="499" t="s">
        <v>568</v>
      </c>
      <c r="C66" s="500">
        <v>10</v>
      </c>
    </row>
    <row r="67" spans="2:3">
      <c r="B67" s="499" t="s">
        <v>569</v>
      </c>
      <c r="C67" s="500">
        <v>10</v>
      </c>
    </row>
    <row r="68" spans="2:3">
      <c r="B68" s="499" t="s">
        <v>570</v>
      </c>
      <c r="C68" s="500">
        <v>10</v>
      </c>
    </row>
    <row r="69" spans="2:3">
      <c r="B69" s="499" t="s">
        <v>571</v>
      </c>
      <c r="C69" s="500">
        <v>15</v>
      </c>
    </row>
    <row r="70" spans="2:3">
      <c r="B70" s="499" t="s">
        <v>572</v>
      </c>
      <c r="C70" s="500">
        <v>15</v>
      </c>
    </row>
    <row r="71" spans="2:3">
      <c r="B71" s="499" t="s">
        <v>573</v>
      </c>
      <c r="C71" s="500">
        <v>20</v>
      </c>
    </row>
    <row r="72" spans="2:3">
      <c r="B72" s="499" t="s">
        <v>574</v>
      </c>
      <c r="C72" s="500">
        <v>20</v>
      </c>
    </row>
    <row r="73" spans="2:3">
      <c r="B73" s="499" t="s">
        <v>575</v>
      </c>
      <c r="C73" s="500">
        <v>20</v>
      </c>
    </row>
    <row r="74" spans="2:3">
      <c r="B74" s="499" t="s">
        <v>576</v>
      </c>
      <c r="C74" s="500">
        <v>20</v>
      </c>
    </row>
    <row r="75" spans="2:3">
      <c r="B75" s="499" t="s">
        <v>577</v>
      </c>
      <c r="C75" s="500">
        <v>10</v>
      </c>
    </row>
    <row r="76" spans="2:3">
      <c r="B76" s="499" t="s">
        <v>578</v>
      </c>
      <c r="C76" s="500">
        <v>15</v>
      </c>
    </row>
    <row r="77" spans="2:3">
      <c r="B77" s="499" t="s">
        <v>579</v>
      </c>
      <c r="C77" s="500">
        <v>10</v>
      </c>
    </row>
    <row r="78" spans="2:3">
      <c r="B78" s="499" t="s">
        <v>580</v>
      </c>
      <c r="C78" s="500">
        <v>20</v>
      </c>
    </row>
    <row r="79" spans="2:3">
      <c r="B79" s="499" t="s">
        <v>581</v>
      </c>
      <c r="C79" s="500">
        <v>15</v>
      </c>
    </row>
    <row r="80" spans="2:3">
      <c r="B80" s="499" t="s">
        <v>582</v>
      </c>
      <c r="C80" s="500">
        <v>15</v>
      </c>
    </row>
    <row r="81" spans="2:3">
      <c r="B81" s="499" t="s">
        <v>583</v>
      </c>
      <c r="C81" s="500">
        <v>20</v>
      </c>
    </row>
    <row r="82" spans="2:3">
      <c r="B82" s="499" t="s">
        <v>584</v>
      </c>
      <c r="C82" s="500">
        <v>20</v>
      </c>
    </row>
    <row r="83" spans="2:3">
      <c r="B83" s="499" t="s">
        <v>585</v>
      </c>
      <c r="C83" s="500">
        <v>20</v>
      </c>
    </row>
    <row r="84" spans="2:3">
      <c r="B84" s="499" t="s">
        <v>586</v>
      </c>
      <c r="C84" s="500">
        <v>15</v>
      </c>
    </row>
    <row r="85" spans="2:3">
      <c r="B85" s="499" t="s">
        <v>587</v>
      </c>
      <c r="C85" s="500">
        <v>15</v>
      </c>
    </row>
    <row r="86" spans="2:3">
      <c r="B86" s="499" t="s">
        <v>588</v>
      </c>
      <c r="C86" s="500">
        <v>20</v>
      </c>
    </row>
    <row r="87" spans="2:3">
      <c r="B87" s="499" t="s">
        <v>589</v>
      </c>
      <c r="C87" s="500">
        <v>10</v>
      </c>
    </row>
    <row r="88" spans="2:3">
      <c r="B88" s="499" t="s">
        <v>590</v>
      </c>
      <c r="C88" s="500">
        <v>15</v>
      </c>
    </row>
    <row r="89" spans="2:3">
      <c r="B89" s="499" t="s">
        <v>591</v>
      </c>
      <c r="C89" s="500">
        <v>15</v>
      </c>
    </row>
    <row r="90" spans="2:3">
      <c r="B90" s="499" t="s">
        <v>592</v>
      </c>
      <c r="C90" s="500">
        <v>15</v>
      </c>
    </row>
    <row r="91" spans="2:3">
      <c r="B91" s="499" t="s">
        <v>593</v>
      </c>
      <c r="C91" s="500">
        <v>15</v>
      </c>
    </row>
    <row r="92" spans="2:3">
      <c r="B92" s="499" t="s">
        <v>594</v>
      </c>
      <c r="C92" s="500">
        <v>15</v>
      </c>
    </row>
    <row r="93" spans="2:3">
      <c r="B93" s="499" t="s">
        <v>595</v>
      </c>
      <c r="C93" s="500">
        <v>15</v>
      </c>
    </row>
    <row r="94" spans="2:3">
      <c r="B94" s="499" t="s">
        <v>596</v>
      </c>
      <c r="C94" s="500">
        <v>15</v>
      </c>
    </row>
    <row r="95" spans="2:3">
      <c r="B95" s="499" t="s">
        <v>597</v>
      </c>
      <c r="C95" s="500">
        <v>20</v>
      </c>
    </row>
    <row r="96" spans="2:3">
      <c r="B96" s="499" t="s">
        <v>598</v>
      </c>
      <c r="C96" s="500">
        <v>15</v>
      </c>
    </row>
    <row r="97" spans="2:3">
      <c r="B97" s="499" t="s">
        <v>599</v>
      </c>
      <c r="C97" s="500">
        <v>15</v>
      </c>
    </row>
    <row r="98" spans="2:3" ht="16.2">
      <c r="B98" s="499" t="s">
        <v>609</v>
      </c>
      <c r="C98" s="500">
        <v>10</v>
      </c>
    </row>
    <row r="99" spans="2:3" ht="16.2">
      <c r="B99" s="499" t="s">
        <v>610</v>
      </c>
      <c r="C99" s="500">
        <v>15</v>
      </c>
    </row>
    <row r="100" spans="2:3">
      <c r="B100" s="499" t="s">
        <v>600</v>
      </c>
      <c r="C100" s="500">
        <v>15</v>
      </c>
    </row>
    <row r="101" spans="2:3">
      <c r="B101" s="499" t="s">
        <v>601</v>
      </c>
      <c r="C101" s="500">
        <v>15</v>
      </c>
    </row>
    <row r="102" spans="2:3">
      <c r="B102" s="499" t="s">
        <v>602</v>
      </c>
      <c r="C102" s="500">
        <v>15</v>
      </c>
    </row>
    <row r="103" spans="2:3">
      <c r="B103" s="499" t="s">
        <v>603</v>
      </c>
      <c r="C103" s="500">
        <v>15</v>
      </c>
    </row>
    <row r="104" spans="2:3">
      <c r="B104" s="499" t="s">
        <v>604</v>
      </c>
      <c r="C104" s="500">
        <v>20</v>
      </c>
    </row>
    <row r="105" spans="2:3">
      <c r="B105" s="499" t="s">
        <v>605</v>
      </c>
      <c r="C105" s="500">
        <v>15</v>
      </c>
    </row>
    <row r="106" spans="2:3">
      <c r="B106" s="499" t="s">
        <v>606</v>
      </c>
      <c r="C106" s="500">
        <v>20</v>
      </c>
    </row>
    <row r="107" spans="2:3" ht="15" thickBot="1">
      <c r="B107" s="499" t="s">
        <v>607</v>
      </c>
      <c r="C107" s="501">
        <v>15</v>
      </c>
    </row>
  </sheetData>
  <mergeCells count="2">
    <mergeCell ref="B7:C7"/>
    <mergeCell ref="B14:C1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showGridLines="0" workbookViewId="0">
      <selection activeCell="F5" sqref="F5"/>
    </sheetView>
  </sheetViews>
  <sheetFormatPr baseColWidth="10" defaultColWidth="10.88671875" defaultRowHeight="15.6"/>
  <cols>
    <col min="1" max="1" width="4.6640625" style="504" customWidth="1"/>
    <col min="2" max="2" width="62.88671875" style="504" customWidth="1"/>
    <col min="3" max="3" width="63.5546875" style="504" customWidth="1"/>
    <col min="4" max="16384" width="10.88671875" style="504"/>
  </cols>
  <sheetData>
    <row r="2" spans="2:3" ht="24.6" customHeight="1">
      <c r="B2" s="509" t="s">
        <v>664</v>
      </c>
      <c r="C2" s="510" t="s">
        <v>665</v>
      </c>
    </row>
    <row r="3" spans="2:3" ht="31.2">
      <c r="B3" s="513" t="s">
        <v>673</v>
      </c>
      <c r="C3" s="507" t="s">
        <v>672</v>
      </c>
    </row>
    <row r="4" spans="2:3">
      <c r="B4" s="505" t="s">
        <v>674</v>
      </c>
      <c r="C4" s="507" t="s">
        <v>661</v>
      </c>
    </row>
    <row r="5" spans="2:3" ht="31.2">
      <c r="B5" s="505" t="s">
        <v>682</v>
      </c>
      <c r="C5" s="508" t="s">
        <v>660</v>
      </c>
    </row>
    <row r="6" spans="2:3" ht="31.2">
      <c r="B6" s="505" t="s">
        <v>675</v>
      </c>
      <c r="C6" s="508" t="s">
        <v>666</v>
      </c>
    </row>
    <row r="7" spans="2:3">
      <c r="B7" s="505" t="s">
        <v>662</v>
      </c>
      <c r="C7" s="507" t="s">
        <v>257</v>
      </c>
    </row>
    <row r="8" spans="2:3">
      <c r="B8" s="506" t="s">
        <v>663</v>
      </c>
      <c r="C8" s="507" t="s">
        <v>257</v>
      </c>
    </row>
    <row r="9" spans="2:3">
      <c r="B9" s="506" t="s">
        <v>668</v>
      </c>
      <c r="C9" s="511" t="s">
        <v>669</v>
      </c>
    </row>
    <row r="10" spans="2:3" ht="46.8">
      <c r="B10" s="505" t="s">
        <v>670</v>
      </c>
      <c r="C10" s="512" t="s">
        <v>671</v>
      </c>
    </row>
    <row r="11" spans="2:3" ht="31.2">
      <c r="B11" s="505" t="s">
        <v>676</v>
      </c>
      <c r="C11" s="507" t="s">
        <v>257</v>
      </c>
    </row>
    <row r="15" spans="2:3">
      <c r="B15"/>
    </row>
    <row r="16" spans="2:3">
      <c r="B16"/>
    </row>
    <row r="17" spans="2:2">
      <c r="B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01"/>
  <sheetViews>
    <sheetView zoomScale="80" zoomScaleNormal="80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E26" sqref="E26"/>
    </sheetView>
  </sheetViews>
  <sheetFormatPr baseColWidth="10" defaultColWidth="11.44140625" defaultRowHeight="13.8"/>
  <cols>
    <col min="1" max="1" width="26.33203125" style="71" customWidth="1"/>
    <col min="2" max="2" width="18.88671875" style="71" customWidth="1"/>
    <col min="3" max="3" width="13.88671875" style="71" customWidth="1"/>
    <col min="4" max="4" width="18.109375" style="71" customWidth="1"/>
    <col min="5" max="5" width="13.88671875" style="71" customWidth="1"/>
    <col min="6" max="6" width="15.6640625" style="71" customWidth="1"/>
    <col min="7" max="7" width="15.88671875" style="71" customWidth="1"/>
    <col min="8" max="8" width="18.44140625" style="71" customWidth="1"/>
    <col min="9" max="9" width="16.33203125" style="71" customWidth="1"/>
    <col min="10" max="10" width="15.5546875" style="71" customWidth="1"/>
    <col min="11" max="11" width="13.5546875" style="71" customWidth="1"/>
    <col min="12" max="12" width="13.33203125" style="71" bestFit="1" customWidth="1"/>
    <col min="13" max="14" width="11.44140625" style="71" customWidth="1"/>
    <col min="15" max="15" width="15.6640625" style="71" customWidth="1"/>
    <col min="16" max="16" width="8.5546875" style="71" bestFit="1" customWidth="1"/>
    <col min="17" max="17" width="11.44140625" style="71" bestFit="1" customWidth="1"/>
    <col min="18" max="18" width="8.33203125" style="71" customWidth="1"/>
    <col min="19" max="19" width="10.109375" style="71" bestFit="1" customWidth="1"/>
    <col min="20" max="20" width="7.33203125" style="71" customWidth="1"/>
    <col min="21" max="21" width="16.33203125" style="71" customWidth="1"/>
    <col min="22" max="22" width="16.88671875" style="71" bestFit="1" customWidth="1"/>
    <col min="23" max="23" width="11.44140625" style="71" hidden="1" customWidth="1"/>
    <col min="24" max="24" width="26" style="71" hidden="1" customWidth="1"/>
    <col min="25" max="25" width="11.44140625" style="71" hidden="1" customWidth="1"/>
    <col min="26" max="26" width="12" style="71" customWidth="1"/>
    <col min="27" max="27" width="20" style="71" bestFit="1" customWidth="1"/>
    <col min="28" max="28" width="19.6640625" style="71" bestFit="1" customWidth="1"/>
    <col min="29" max="30" width="11.44140625" style="71"/>
    <col min="31" max="33" width="11.44140625" style="71" customWidth="1"/>
    <col min="34" max="34" width="11.44140625" style="71"/>
    <col min="35" max="35" width="19" style="71" customWidth="1"/>
    <col min="36" max="36" width="15.5546875" style="71" customWidth="1"/>
    <col min="37" max="37" width="10.33203125" style="71" customWidth="1"/>
    <col min="38" max="43" width="11.44140625" style="71" customWidth="1"/>
    <col min="44" max="44" width="19" style="71" customWidth="1"/>
    <col min="45" max="45" width="15.5546875" style="71" customWidth="1"/>
    <col min="46" max="50" width="11.44140625" style="71" customWidth="1"/>
    <col min="51" max="16384" width="11.44140625" style="71"/>
  </cols>
  <sheetData>
    <row r="1" spans="1:56" ht="14.4" thickBot="1">
      <c r="A1" s="69"/>
      <c r="B1" s="69"/>
      <c r="C1" s="794" t="s">
        <v>205</v>
      </c>
      <c r="D1" s="795"/>
      <c r="E1" s="795"/>
      <c r="F1" s="795"/>
      <c r="G1" s="795"/>
      <c r="H1" s="795"/>
      <c r="I1" s="795"/>
      <c r="J1" s="795"/>
      <c r="K1" s="796"/>
      <c r="L1" s="69"/>
      <c r="M1" s="70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V1" s="72" t="s">
        <v>216</v>
      </c>
    </row>
    <row r="2" spans="1:56" ht="14.4" thickBot="1">
      <c r="B2" s="799" t="s">
        <v>456</v>
      </c>
      <c r="C2" s="800"/>
      <c r="D2" s="800"/>
      <c r="E2" s="800"/>
      <c r="F2" s="800"/>
      <c r="G2" s="800"/>
      <c r="H2" s="800"/>
      <c r="I2" s="801"/>
      <c r="J2" s="799" t="s">
        <v>457</v>
      </c>
      <c r="K2" s="800"/>
      <c r="L2" s="800"/>
      <c r="M2" s="800"/>
      <c r="N2" s="800"/>
      <c r="O2" s="800"/>
      <c r="P2" s="800"/>
      <c r="Q2" s="801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V2" s="72" t="s">
        <v>210</v>
      </c>
    </row>
    <row r="3" spans="1:56" s="74" customFormat="1" ht="18.75" customHeight="1" thickBot="1">
      <c r="A3" s="5" t="s">
        <v>37</v>
      </c>
      <c r="B3" s="803" t="s">
        <v>38</v>
      </c>
      <c r="C3" s="804"/>
      <c r="D3" s="805"/>
      <c r="E3" s="797" t="s">
        <v>50</v>
      </c>
      <c r="F3" s="806" t="s">
        <v>4</v>
      </c>
      <c r="G3" s="73" t="s">
        <v>39</v>
      </c>
      <c r="H3" s="804" t="s">
        <v>40</v>
      </c>
      <c r="I3" s="805"/>
      <c r="J3" s="803" t="s">
        <v>41</v>
      </c>
      <c r="K3" s="804"/>
      <c r="L3" s="805"/>
      <c r="M3" s="797" t="s">
        <v>50</v>
      </c>
      <c r="N3" s="797" t="s">
        <v>4</v>
      </c>
      <c r="O3" s="73" t="s">
        <v>42</v>
      </c>
      <c r="P3" s="803" t="s">
        <v>44</v>
      </c>
      <c r="Q3" s="805"/>
      <c r="R3" s="804" t="s">
        <v>43</v>
      </c>
      <c r="S3" s="804"/>
      <c r="T3" s="804"/>
      <c r="U3" s="804"/>
      <c r="V3" s="810" t="s">
        <v>221</v>
      </c>
      <c r="W3" s="811"/>
      <c r="X3" s="811"/>
      <c r="Y3" s="811"/>
      <c r="Z3" s="811"/>
      <c r="AA3" s="811"/>
      <c r="AB3" s="812"/>
      <c r="AI3" s="807" t="s">
        <v>218</v>
      </c>
      <c r="AJ3" s="808"/>
      <c r="AK3" s="809"/>
      <c r="AR3" s="807" t="s">
        <v>219</v>
      </c>
      <c r="AS3" s="808"/>
      <c r="AT3" s="809"/>
      <c r="AV3" s="75" t="s">
        <v>217</v>
      </c>
    </row>
    <row r="4" spans="1:56" s="74" customFormat="1" ht="35.25" customHeight="1" thickBot="1">
      <c r="A4" s="33"/>
      <c r="B4" s="76" t="s">
        <v>45</v>
      </c>
      <c r="C4" s="31" t="s">
        <v>51</v>
      </c>
      <c r="D4" s="31" t="s">
        <v>49</v>
      </c>
      <c r="E4" s="802"/>
      <c r="F4" s="802"/>
      <c r="G4" s="77">
        <v>44378</v>
      </c>
      <c r="H4" s="78" t="s">
        <v>96</v>
      </c>
      <c r="I4" s="31" t="s">
        <v>46</v>
      </c>
      <c r="J4" s="79" t="s">
        <v>45</v>
      </c>
      <c r="K4" s="80" t="s">
        <v>51</v>
      </c>
      <c r="L4" s="81" t="s">
        <v>49</v>
      </c>
      <c r="M4" s="798"/>
      <c r="N4" s="798"/>
      <c r="O4" s="77">
        <v>44377</v>
      </c>
      <c r="P4" s="78" t="s">
        <v>96</v>
      </c>
      <c r="Q4" s="31" t="s">
        <v>46</v>
      </c>
      <c r="R4" s="76" t="s">
        <v>45</v>
      </c>
      <c r="S4" s="76" t="s">
        <v>7</v>
      </c>
      <c r="T4" s="31" t="s">
        <v>29</v>
      </c>
      <c r="U4" s="81" t="s">
        <v>0</v>
      </c>
      <c r="V4" s="76" t="s">
        <v>209</v>
      </c>
      <c r="W4" s="27"/>
      <c r="X4" s="29"/>
      <c r="Y4" s="29"/>
      <c r="Z4" s="82" t="s">
        <v>222</v>
      </c>
      <c r="AA4" s="76" t="s">
        <v>211</v>
      </c>
      <c r="AB4" s="76" t="s">
        <v>212</v>
      </c>
      <c r="AI4" s="83" t="s">
        <v>213</v>
      </c>
      <c r="AJ4" s="84" t="s">
        <v>214</v>
      </c>
      <c r="AK4" s="84" t="s">
        <v>215</v>
      </c>
      <c r="AR4" s="83" t="s">
        <v>213</v>
      </c>
      <c r="AS4" s="84" t="s">
        <v>214</v>
      </c>
      <c r="AT4" s="84" t="s">
        <v>215</v>
      </c>
    </row>
    <row r="5" spans="1:56">
      <c r="A5" s="85" t="s">
        <v>1</v>
      </c>
      <c r="B5" s="86">
        <v>250</v>
      </c>
      <c r="C5" s="87">
        <v>420</v>
      </c>
      <c r="D5" s="88">
        <f t="shared" ref="D5:D22" si="0">C5*B5</f>
        <v>105000</v>
      </c>
      <c r="E5" s="89">
        <v>100</v>
      </c>
      <c r="F5" s="90">
        <f t="shared" ref="F5:F22" si="1">+C5*E5</f>
        <v>42000</v>
      </c>
      <c r="G5" s="91">
        <f t="shared" ref="G5:G22" si="2">+F5*B5</f>
        <v>10500000</v>
      </c>
      <c r="H5" s="92">
        <f>+IF(V5="HEMBRA INV",AI5,IF(V5="HEMBRA CRiA",AJ5,AK5))</f>
        <v>1.3085309831055105</v>
      </c>
      <c r="I5" s="93">
        <f t="shared" ref="I5:I22" si="3">+H5*B5</f>
        <v>327.13274577637765</v>
      </c>
      <c r="J5" s="86">
        <v>265</v>
      </c>
      <c r="K5" s="87">
        <f>+C5</f>
        <v>420</v>
      </c>
      <c r="L5" s="94">
        <f t="shared" ref="L5:L22" si="4">K5*J5</f>
        <v>111300</v>
      </c>
      <c r="M5" s="89">
        <v>150</v>
      </c>
      <c r="N5" s="95">
        <f t="shared" ref="N5:N22" si="5">+M5*K5</f>
        <v>63000</v>
      </c>
      <c r="O5" s="95">
        <f t="shared" ref="O5:O22" si="6">+N5*J5</f>
        <v>16695000</v>
      </c>
      <c r="P5" s="92">
        <f>+IF(V5="HEMBRA INV",AR5,IF(V5="HEMBRA CRiA",AS5,AT5))</f>
        <v>1.3085309831055105</v>
      </c>
      <c r="Q5" s="96">
        <f t="shared" ref="Q5:Q22" si="7">+P5*J5</f>
        <v>346.76071052296027</v>
      </c>
      <c r="R5" s="95">
        <f t="shared" ref="R5:R22" si="8">J5-B5</f>
        <v>15</v>
      </c>
      <c r="S5" s="94">
        <f t="shared" ref="S5:S23" si="9">+L5-D5</f>
        <v>6300</v>
      </c>
      <c r="T5" s="97">
        <f>+Q5-I5</f>
        <v>19.62796474658262</v>
      </c>
      <c r="U5" s="95">
        <f t="shared" ref="U5:U22" si="10">+O5-G5</f>
        <v>6195000</v>
      </c>
      <c r="V5" s="98" t="s">
        <v>217</v>
      </c>
      <c r="W5" s="99"/>
      <c r="X5" s="100"/>
      <c r="Y5" s="100"/>
      <c r="Z5" s="101"/>
      <c r="AA5" s="102">
        <v>1</v>
      </c>
      <c r="AB5" s="98">
        <v>4</v>
      </c>
      <c r="AC5" s="69"/>
      <c r="AD5" s="69"/>
      <c r="AE5" s="69"/>
      <c r="AI5" s="103">
        <f t="shared" ref="AI5:AI22" si="11">0.34921+(0.0010608*C5)+(0.019813*$Z5/1000)+(0.0012986*$Z5*C5/1000)</f>
        <v>0.79474599999999995</v>
      </c>
      <c r="AJ5" s="104">
        <f>0.32952+(0.0010954*C5)+(0.14749*($Z5/1000))+(0.00095651*C5*($Z5/1000))+(0.00156*(2.7182818^(0.557*$AA5)))+(0.014238*((30*$AB5)^0.75))</f>
        <v>1.3085309831055105</v>
      </c>
      <c r="AK5" s="104">
        <f t="shared" ref="AK5:AK22" si="12">0.33521+(0.0010738*C5)+(0.1054*$Z5/1000)+(0.0009244*C5*$Z5/1000)</f>
        <v>0.78620599999999996</v>
      </c>
      <c r="AL5" s="105"/>
      <c r="AM5" s="74"/>
      <c r="AN5" s="74"/>
      <c r="AO5" s="105"/>
      <c r="AP5" s="74"/>
      <c r="AQ5" s="74"/>
      <c r="AR5" s="106">
        <f t="shared" ref="AR5:AR22" si="13">0.34921+(0.0010608*K5)+(0.019813*$Z5/1000)+(0.0012986*$Z5*K5/1000)</f>
        <v>0.79474599999999995</v>
      </c>
      <c r="AS5" s="107">
        <f>0.32952+(0.0010954*K5)+(0.14749*($Z5/1000))+(0.00095651*K5*($Z5/1000))+(0.00156*(2.7182818^(0.557*$AA5)))+(0.014238*((30*$AB5)^0.75))</f>
        <v>1.3085309831055105</v>
      </c>
      <c r="AT5" s="107">
        <f t="shared" ref="AT5:AT22" si="14">0.33521+(0.0010738*K5)+(0.1054*$Z5/1000)+(0.0009244*K5*$Z5/1000)</f>
        <v>0.78620599999999996</v>
      </c>
      <c r="AU5" s="105"/>
      <c r="AV5" s="74"/>
      <c r="AW5" s="74"/>
      <c r="AX5" s="105"/>
      <c r="AY5" s="74"/>
      <c r="AZ5" s="74"/>
      <c r="BA5" s="105"/>
      <c r="BB5" s="74"/>
      <c r="BC5" s="74"/>
      <c r="BD5" s="105"/>
    </row>
    <row r="6" spans="1:56" s="74" customFormat="1">
      <c r="A6" s="85" t="s">
        <v>88</v>
      </c>
      <c r="B6" s="108">
        <v>50</v>
      </c>
      <c r="C6" s="109">
        <v>320</v>
      </c>
      <c r="D6" s="88">
        <f t="shared" si="0"/>
        <v>16000</v>
      </c>
      <c r="E6" s="89">
        <v>100</v>
      </c>
      <c r="F6" s="90">
        <f t="shared" si="1"/>
        <v>32000</v>
      </c>
      <c r="G6" s="91">
        <f t="shared" si="2"/>
        <v>1600000</v>
      </c>
      <c r="H6" s="92">
        <f t="shared" ref="H6:H22" si="15">+IF(V6="HEMBRA INV",AI6,IF(V6="HEMBRA CRiA",AJ6,AK6))</f>
        <v>0.79616416821472258</v>
      </c>
      <c r="I6" s="91">
        <f t="shared" si="3"/>
        <v>39.808208410736128</v>
      </c>
      <c r="J6" s="108">
        <v>58</v>
      </c>
      <c r="K6" s="109">
        <f>+C6</f>
        <v>320</v>
      </c>
      <c r="L6" s="110">
        <f t="shared" si="4"/>
        <v>18560</v>
      </c>
      <c r="M6" s="89">
        <v>120</v>
      </c>
      <c r="N6" s="94">
        <f t="shared" si="5"/>
        <v>38400</v>
      </c>
      <c r="O6" s="110">
        <f t="shared" si="6"/>
        <v>2227200</v>
      </c>
      <c r="P6" s="92">
        <f t="shared" ref="P6:P22" si="16">+IF(V6="HEMBRA INV",AR6,IF(V6="HEMBRA CRiA",AS6,AT6))</f>
        <v>0.79616416821472258</v>
      </c>
      <c r="Q6" s="111">
        <f t="shared" si="7"/>
        <v>46.177521756453906</v>
      </c>
      <c r="R6" s="110">
        <f t="shared" si="8"/>
        <v>8</v>
      </c>
      <c r="S6" s="94">
        <f t="shared" si="9"/>
        <v>2560</v>
      </c>
      <c r="T6" s="97">
        <f t="shared" ref="T6:T22" si="17">+Q6-I6</f>
        <v>6.369313345717778</v>
      </c>
      <c r="U6" s="94">
        <f t="shared" si="10"/>
        <v>627200</v>
      </c>
      <c r="V6" s="102" t="s">
        <v>217</v>
      </c>
      <c r="W6" s="112"/>
      <c r="X6" s="113"/>
      <c r="Y6" s="113"/>
      <c r="Z6" s="114">
        <v>250</v>
      </c>
      <c r="AA6" s="102">
        <v>1</v>
      </c>
      <c r="AB6" s="102">
        <v>0</v>
      </c>
      <c r="AI6" s="103">
        <f t="shared" si="11"/>
        <v>0.79750725</v>
      </c>
      <c r="AJ6" s="104">
        <f t="shared" ref="AJ6:AJ22" si="18">0.32952+(0.0010954*C6)+(0.14749*($Z6/1000))+(0.00095651*C6*($Z6/1000))+(0.00156*(2.7182818^(0.557*$AA6)))+(0.014238*((30*$AB6)^0.75))</f>
        <v>0.79616416821472258</v>
      </c>
      <c r="AK6" s="104">
        <f t="shared" si="12"/>
        <v>0.77912799999999993</v>
      </c>
      <c r="AL6" s="105"/>
      <c r="AO6" s="105"/>
      <c r="AR6" s="106">
        <f t="shared" si="13"/>
        <v>0.79750725</v>
      </c>
      <c r="AS6" s="107">
        <f t="shared" ref="AS6:AS22" si="19">0.32952+(0.0010954*K6)+(0.14749*($Z6/1000))+(0.00095651*K6*($Z6/1000))+(0.00156*(2.7182818^(0.557*$AA6)))+(0.014238*((30*$AB6)^0.75))</f>
        <v>0.79616416821472258</v>
      </c>
      <c r="AT6" s="107">
        <f t="shared" si="14"/>
        <v>0.77912799999999993</v>
      </c>
      <c r="AU6" s="105"/>
      <c r="AX6" s="105"/>
      <c r="BA6" s="105"/>
      <c r="BD6" s="105"/>
    </row>
    <row r="7" spans="1:56" s="74" customFormat="1">
      <c r="A7" s="85" t="s">
        <v>9</v>
      </c>
      <c r="B7" s="108">
        <v>60</v>
      </c>
      <c r="C7" s="109">
        <v>220</v>
      </c>
      <c r="D7" s="88">
        <f t="shared" si="0"/>
        <v>13200</v>
      </c>
      <c r="E7" s="89">
        <v>100</v>
      </c>
      <c r="F7" s="90">
        <f t="shared" si="1"/>
        <v>22000</v>
      </c>
      <c r="G7" s="91">
        <f t="shared" si="2"/>
        <v>1320000</v>
      </c>
      <c r="H7" s="92">
        <f t="shared" si="15"/>
        <v>0.70478799999999997</v>
      </c>
      <c r="I7" s="91">
        <f>+H7*B7</f>
        <v>42.287279999999996</v>
      </c>
      <c r="J7" s="108">
        <v>65</v>
      </c>
      <c r="K7" s="109">
        <f>+C7</f>
        <v>220</v>
      </c>
      <c r="L7" s="110">
        <f t="shared" si="4"/>
        <v>14300</v>
      </c>
      <c r="M7" s="89">
        <v>200</v>
      </c>
      <c r="N7" s="94">
        <f t="shared" si="5"/>
        <v>44000</v>
      </c>
      <c r="O7" s="110">
        <f t="shared" si="6"/>
        <v>2860000</v>
      </c>
      <c r="P7" s="92">
        <f t="shared" si="16"/>
        <v>0.70478799999999997</v>
      </c>
      <c r="Q7" s="111">
        <f t="shared" si="7"/>
        <v>45.811219999999999</v>
      </c>
      <c r="R7" s="110">
        <f t="shared" si="8"/>
        <v>5</v>
      </c>
      <c r="S7" s="94">
        <f t="shared" si="9"/>
        <v>1100</v>
      </c>
      <c r="T7" s="97">
        <f t="shared" si="17"/>
        <v>3.5239400000000032</v>
      </c>
      <c r="U7" s="94">
        <f t="shared" si="10"/>
        <v>1540000</v>
      </c>
      <c r="V7" s="102" t="s">
        <v>216</v>
      </c>
      <c r="W7" s="112"/>
      <c r="X7" s="113"/>
      <c r="Y7" s="113"/>
      <c r="Z7" s="114">
        <v>400</v>
      </c>
      <c r="AA7" s="102">
        <v>0</v>
      </c>
      <c r="AB7" s="102">
        <v>0</v>
      </c>
      <c r="AI7" s="103">
        <f t="shared" si="11"/>
        <v>0.70478799999999997</v>
      </c>
      <c r="AJ7" s="104">
        <f t="shared" si="18"/>
        <v>0.71523688000000007</v>
      </c>
      <c r="AK7" s="104">
        <f t="shared" si="12"/>
        <v>0.69495319999999994</v>
      </c>
      <c r="AL7" s="105"/>
      <c r="AO7" s="105"/>
      <c r="AR7" s="106">
        <f t="shared" si="13"/>
        <v>0.70478799999999997</v>
      </c>
      <c r="AS7" s="107">
        <f t="shared" si="19"/>
        <v>0.71523688000000007</v>
      </c>
      <c r="AT7" s="107">
        <f t="shared" si="14"/>
        <v>0.69495319999999994</v>
      </c>
      <c r="AU7" s="105"/>
      <c r="AX7" s="105"/>
      <c r="BA7" s="105"/>
      <c r="BD7" s="105"/>
    </row>
    <row r="8" spans="1:56" s="74" customFormat="1">
      <c r="A8" s="85" t="s">
        <v>3</v>
      </c>
      <c r="B8" s="108">
        <v>13</v>
      </c>
      <c r="C8" s="109">
        <v>650</v>
      </c>
      <c r="D8" s="88">
        <f t="shared" si="0"/>
        <v>8450</v>
      </c>
      <c r="E8" s="89">
        <v>100</v>
      </c>
      <c r="F8" s="90">
        <f t="shared" si="1"/>
        <v>65000</v>
      </c>
      <c r="G8" s="91">
        <f t="shared" si="2"/>
        <v>845000</v>
      </c>
      <c r="H8" s="92">
        <f t="shared" si="15"/>
        <v>1.03318</v>
      </c>
      <c r="I8" s="91">
        <f t="shared" si="3"/>
        <v>13.431340000000001</v>
      </c>
      <c r="J8" s="108">
        <v>13</v>
      </c>
      <c r="K8" s="109">
        <f>+C8</f>
        <v>650</v>
      </c>
      <c r="L8" s="110">
        <f t="shared" si="4"/>
        <v>8450</v>
      </c>
      <c r="M8" s="89">
        <v>200</v>
      </c>
      <c r="N8" s="94">
        <f t="shared" si="5"/>
        <v>130000</v>
      </c>
      <c r="O8" s="110">
        <f t="shared" si="6"/>
        <v>1690000</v>
      </c>
      <c r="P8" s="92">
        <f t="shared" si="16"/>
        <v>1.03318</v>
      </c>
      <c r="Q8" s="115">
        <f t="shared" si="7"/>
        <v>13.431340000000001</v>
      </c>
      <c r="R8" s="110">
        <f t="shared" si="8"/>
        <v>0</v>
      </c>
      <c r="S8" s="94">
        <f t="shared" si="9"/>
        <v>0</v>
      </c>
      <c r="T8" s="97">
        <f t="shared" si="17"/>
        <v>0</v>
      </c>
      <c r="U8" s="94">
        <f t="shared" si="10"/>
        <v>845000</v>
      </c>
      <c r="V8" s="102" t="s">
        <v>210</v>
      </c>
      <c r="W8" s="112"/>
      <c r="X8" s="113"/>
      <c r="Y8" s="113"/>
      <c r="Z8" s="114">
        <v>0</v>
      </c>
      <c r="AA8" s="102">
        <v>0</v>
      </c>
      <c r="AB8" s="102">
        <v>0</v>
      </c>
      <c r="AI8" s="103">
        <f t="shared" si="11"/>
        <v>1.0387300000000002</v>
      </c>
      <c r="AJ8" s="104">
        <f t="shared" si="18"/>
        <v>1.0430900000000001</v>
      </c>
      <c r="AK8" s="104">
        <f t="shared" si="12"/>
        <v>1.03318</v>
      </c>
      <c r="AL8" s="105"/>
      <c r="AO8" s="105"/>
      <c r="AR8" s="106">
        <f t="shared" si="13"/>
        <v>1.0387300000000002</v>
      </c>
      <c r="AS8" s="107">
        <f t="shared" si="19"/>
        <v>1.0430900000000001</v>
      </c>
      <c r="AT8" s="107">
        <f t="shared" si="14"/>
        <v>1.03318</v>
      </c>
      <c r="AU8" s="105"/>
      <c r="AX8" s="105"/>
      <c r="BA8" s="105"/>
      <c r="BD8" s="105"/>
    </row>
    <row r="9" spans="1:56" s="74" customFormat="1">
      <c r="A9" s="85" t="s">
        <v>8</v>
      </c>
      <c r="B9" s="108">
        <v>103</v>
      </c>
      <c r="C9" s="109">
        <v>220</v>
      </c>
      <c r="D9" s="88">
        <f t="shared" si="0"/>
        <v>22660</v>
      </c>
      <c r="E9" s="89">
        <v>100</v>
      </c>
      <c r="F9" s="90">
        <f t="shared" si="1"/>
        <v>22000</v>
      </c>
      <c r="G9" s="91">
        <f t="shared" si="2"/>
        <v>2266000</v>
      </c>
      <c r="H9" s="92">
        <f t="shared" si="15"/>
        <v>0.58258600000000005</v>
      </c>
      <c r="I9" s="91">
        <f>+H9*B9</f>
        <v>60.006358000000006</v>
      </c>
      <c r="J9" s="108">
        <v>125</v>
      </c>
      <c r="K9" s="109">
        <f>+C9</f>
        <v>220</v>
      </c>
      <c r="L9" s="110">
        <f t="shared" si="4"/>
        <v>27500</v>
      </c>
      <c r="M9" s="89">
        <v>200</v>
      </c>
      <c r="N9" s="94">
        <f t="shared" si="5"/>
        <v>44000</v>
      </c>
      <c r="O9" s="110">
        <f t="shared" si="6"/>
        <v>5500000</v>
      </c>
      <c r="P9" s="92">
        <f t="shared" si="16"/>
        <v>0.58258600000000005</v>
      </c>
      <c r="Q9" s="115">
        <f t="shared" si="7"/>
        <v>72.823250000000002</v>
      </c>
      <c r="R9" s="110">
        <f t="shared" si="8"/>
        <v>22</v>
      </c>
      <c r="S9" s="94">
        <f t="shared" si="9"/>
        <v>4840</v>
      </c>
      <c r="T9" s="97">
        <f t="shared" si="17"/>
        <v>12.816891999999996</v>
      </c>
      <c r="U9" s="94">
        <f t="shared" si="10"/>
        <v>3234000</v>
      </c>
      <c r="V9" s="102" t="s">
        <v>216</v>
      </c>
      <c r="W9" s="112"/>
      <c r="X9" s="113"/>
      <c r="Y9" s="113"/>
      <c r="Z9" s="114">
        <v>0</v>
      </c>
      <c r="AA9" s="102">
        <v>0</v>
      </c>
      <c r="AB9" s="102">
        <v>0</v>
      </c>
      <c r="AI9" s="103">
        <f t="shared" si="11"/>
        <v>0.58258600000000005</v>
      </c>
      <c r="AJ9" s="104">
        <f t="shared" si="18"/>
        <v>0.57206800000000002</v>
      </c>
      <c r="AK9" s="104">
        <f t="shared" si="12"/>
        <v>0.57144600000000001</v>
      </c>
      <c r="AL9" s="105"/>
      <c r="AO9" s="105"/>
      <c r="AR9" s="106">
        <f t="shared" si="13"/>
        <v>0.58258600000000005</v>
      </c>
      <c r="AS9" s="107">
        <f t="shared" si="19"/>
        <v>0.57206800000000002</v>
      </c>
      <c r="AT9" s="107">
        <f t="shared" si="14"/>
        <v>0.57144600000000001</v>
      </c>
      <c r="AU9" s="105"/>
      <c r="AX9" s="105"/>
      <c r="BA9" s="105"/>
      <c r="BD9" s="105"/>
    </row>
    <row r="10" spans="1:56" s="74" customFormat="1">
      <c r="A10" s="85" t="s">
        <v>163</v>
      </c>
      <c r="B10" s="108"/>
      <c r="C10" s="109"/>
      <c r="D10" s="88">
        <f t="shared" si="0"/>
        <v>0</v>
      </c>
      <c r="E10" s="116"/>
      <c r="F10" s="90">
        <f t="shared" si="1"/>
        <v>0</v>
      </c>
      <c r="G10" s="91">
        <f t="shared" si="2"/>
        <v>0</v>
      </c>
      <c r="H10" s="92">
        <f t="shared" si="15"/>
        <v>0.33521000000000001</v>
      </c>
      <c r="I10" s="91">
        <f t="shared" si="3"/>
        <v>0</v>
      </c>
      <c r="J10" s="117"/>
      <c r="K10" s="109"/>
      <c r="L10" s="110">
        <f t="shared" si="4"/>
        <v>0</v>
      </c>
      <c r="M10" s="118"/>
      <c r="N10" s="94">
        <f t="shared" si="5"/>
        <v>0</v>
      </c>
      <c r="O10" s="110">
        <f t="shared" si="6"/>
        <v>0</v>
      </c>
      <c r="P10" s="92">
        <f t="shared" si="16"/>
        <v>0.33521000000000001</v>
      </c>
      <c r="Q10" s="111">
        <f t="shared" si="7"/>
        <v>0</v>
      </c>
      <c r="R10" s="110">
        <f t="shared" si="8"/>
        <v>0</v>
      </c>
      <c r="S10" s="94">
        <f t="shared" si="9"/>
        <v>0</v>
      </c>
      <c r="T10" s="97">
        <f t="shared" si="17"/>
        <v>0</v>
      </c>
      <c r="U10" s="94">
        <f t="shared" si="10"/>
        <v>0</v>
      </c>
      <c r="V10" s="102"/>
      <c r="W10" s="112"/>
      <c r="X10" s="113"/>
      <c r="Y10" s="113"/>
      <c r="Z10" s="114">
        <v>0</v>
      </c>
      <c r="AA10" s="102">
        <v>0</v>
      </c>
      <c r="AB10" s="102">
        <v>0</v>
      </c>
      <c r="AI10" s="103">
        <f t="shared" si="11"/>
        <v>0.34921000000000002</v>
      </c>
      <c r="AJ10" s="104">
        <f t="shared" si="18"/>
        <v>0.33107999999999999</v>
      </c>
      <c r="AK10" s="104">
        <f t="shared" si="12"/>
        <v>0.33521000000000001</v>
      </c>
      <c r="AL10" s="105"/>
      <c r="AO10" s="105"/>
      <c r="AR10" s="106">
        <f t="shared" si="13"/>
        <v>0.34921000000000002</v>
      </c>
      <c r="AS10" s="107">
        <f t="shared" si="19"/>
        <v>0.33107999999999999</v>
      </c>
      <c r="AT10" s="107">
        <f t="shared" si="14"/>
        <v>0.33521000000000001</v>
      </c>
      <c r="AU10" s="105"/>
      <c r="AX10" s="105"/>
      <c r="BA10" s="105"/>
      <c r="BD10" s="105"/>
    </row>
    <row r="11" spans="1:56" s="74" customFormat="1">
      <c r="A11" s="85" t="s">
        <v>163</v>
      </c>
      <c r="B11" s="108"/>
      <c r="C11" s="109"/>
      <c r="D11" s="88">
        <f t="shared" si="0"/>
        <v>0</v>
      </c>
      <c r="E11" s="116"/>
      <c r="F11" s="90">
        <f t="shared" si="1"/>
        <v>0</v>
      </c>
      <c r="G11" s="91">
        <f t="shared" si="2"/>
        <v>0</v>
      </c>
      <c r="H11" s="92">
        <f t="shared" si="15"/>
        <v>0.33521000000000001</v>
      </c>
      <c r="I11" s="91">
        <f t="shared" si="3"/>
        <v>0</v>
      </c>
      <c r="J11" s="117"/>
      <c r="K11" s="109"/>
      <c r="L11" s="110">
        <f t="shared" si="4"/>
        <v>0</v>
      </c>
      <c r="M11" s="118"/>
      <c r="N11" s="94">
        <f t="shared" si="5"/>
        <v>0</v>
      </c>
      <c r="O11" s="110">
        <f t="shared" si="6"/>
        <v>0</v>
      </c>
      <c r="P11" s="92">
        <f t="shared" si="16"/>
        <v>0.33521000000000001</v>
      </c>
      <c r="Q11" s="111">
        <f t="shared" si="7"/>
        <v>0</v>
      </c>
      <c r="R11" s="110">
        <f t="shared" si="8"/>
        <v>0</v>
      </c>
      <c r="S11" s="94">
        <f t="shared" si="9"/>
        <v>0</v>
      </c>
      <c r="T11" s="97">
        <f t="shared" si="17"/>
        <v>0</v>
      </c>
      <c r="U11" s="94">
        <f t="shared" si="10"/>
        <v>0</v>
      </c>
      <c r="V11" s="102"/>
      <c r="W11" s="112"/>
      <c r="X11" s="113"/>
      <c r="Y11" s="113"/>
      <c r="Z11" s="114">
        <v>0</v>
      </c>
      <c r="AA11" s="102">
        <v>0</v>
      </c>
      <c r="AB11" s="102">
        <v>0</v>
      </c>
      <c r="AI11" s="103">
        <f t="shared" si="11"/>
        <v>0.34921000000000002</v>
      </c>
      <c r="AJ11" s="104">
        <f t="shared" si="18"/>
        <v>0.33107999999999999</v>
      </c>
      <c r="AK11" s="104">
        <f t="shared" si="12"/>
        <v>0.33521000000000001</v>
      </c>
      <c r="AL11" s="105"/>
      <c r="AO11" s="105"/>
      <c r="AR11" s="106">
        <f t="shared" si="13"/>
        <v>0.34921000000000002</v>
      </c>
      <c r="AS11" s="107">
        <f t="shared" si="19"/>
        <v>0.33107999999999999</v>
      </c>
      <c r="AT11" s="107">
        <f t="shared" si="14"/>
        <v>0.33521000000000001</v>
      </c>
      <c r="AU11" s="105"/>
      <c r="AX11" s="105"/>
      <c r="BA11" s="105"/>
      <c r="BD11" s="105"/>
    </row>
    <row r="12" spans="1:56" s="74" customFormat="1">
      <c r="A12" s="85" t="s">
        <v>163</v>
      </c>
      <c r="B12" s="108"/>
      <c r="C12" s="109"/>
      <c r="D12" s="88">
        <f t="shared" si="0"/>
        <v>0</v>
      </c>
      <c r="E12" s="116"/>
      <c r="F12" s="90">
        <f t="shared" si="1"/>
        <v>0</v>
      </c>
      <c r="G12" s="91">
        <f t="shared" si="2"/>
        <v>0</v>
      </c>
      <c r="H12" s="92">
        <f t="shared" si="15"/>
        <v>0.33521000000000001</v>
      </c>
      <c r="I12" s="91">
        <f t="shared" si="3"/>
        <v>0</v>
      </c>
      <c r="J12" s="117"/>
      <c r="K12" s="109"/>
      <c r="L12" s="110">
        <f t="shared" si="4"/>
        <v>0</v>
      </c>
      <c r="M12" s="118"/>
      <c r="N12" s="94">
        <f t="shared" si="5"/>
        <v>0</v>
      </c>
      <c r="O12" s="110">
        <f t="shared" si="6"/>
        <v>0</v>
      </c>
      <c r="P12" s="92">
        <f t="shared" si="16"/>
        <v>0.33521000000000001</v>
      </c>
      <c r="Q12" s="111">
        <f t="shared" si="7"/>
        <v>0</v>
      </c>
      <c r="R12" s="110">
        <f t="shared" si="8"/>
        <v>0</v>
      </c>
      <c r="S12" s="94">
        <f t="shared" si="9"/>
        <v>0</v>
      </c>
      <c r="T12" s="97">
        <f t="shared" si="17"/>
        <v>0</v>
      </c>
      <c r="U12" s="94">
        <f t="shared" si="10"/>
        <v>0</v>
      </c>
      <c r="V12" s="102"/>
      <c r="W12" s="112"/>
      <c r="X12" s="113"/>
      <c r="Y12" s="113"/>
      <c r="Z12" s="114">
        <v>0</v>
      </c>
      <c r="AA12" s="102">
        <v>0</v>
      </c>
      <c r="AB12" s="102">
        <v>0</v>
      </c>
      <c r="AI12" s="103">
        <f t="shared" si="11"/>
        <v>0.34921000000000002</v>
      </c>
      <c r="AJ12" s="104">
        <f t="shared" si="18"/>
        <v>0.33107999999999999</v>
      </c>
      <c r="AK12" s="104">
        <f t="shared" si="12"/>
        <v>0.33521000000000001</v>
      </c>
      <c r="AL12" s="105"/>
      <c r="AO12" s="105"/>
      <c r="AR12" s="106">
        <f t="shared" si="13"/>
        <v>0.34921000000000002</v>
      </c>
      <c r="AS12" s="107">
        <f t="shared" si="19"/>
        <v>0.33107999999999999</v>
      </c>
      <c r="AT12" s="107">
        <f t="shared" si="14"/>
        <v>0.33521000000000001</v>
      </c>
      <c r="AU12" s="105"/>
      <c r="AX12" s="105"/>
      <c r="BA12" s="105"/>
      <c r="BD12" s="105"/>
    </row>
    <row r="13" spans="1:56" s="74" customFormat="1">
      <c r="A13" s="85" t="s">
        <v>163</v>
      </c>
      <c r="B13" s="108"/>
      <c r="C13" s="109"/>
      <c r="D13" s="88">
        <f t="shared" si="0"/>
        <v>0</v>
      </c>
      <c r="E13" s="116"/>
      <c r="F13" s="90">
        <f t="shared" si="1"/>
        <v>0</v>
      </c>
      <c r="G13" s="91">
        <f t="shared" si="2"/>
        <v>0</v>
      </c>
      <c r="H13" s="92">
        <f t="shared" si="15"/>
        <v>0.33521000000000001</v>
      </c>
      <c r="I13" s="91">
        <f t="shared" si="3"/>
        <v>0</v>
      </c>
      <c r="J13" s="117"/>
      <c r="K13" s="109"/>
      <c r="L13" s="110">
        <f t="shared" si="4"/>
        <v>0</v>
      </c>
      <c r="M13" s="118"/>
      <c r="N13" s="94">
        <f t="shared" si="5"/>
        <v>0</v>
      </c>
      <c r="O13" s="110">
        <f t="shared" si="6"/>
        <v>0</v>
      </c>
      <c r="P13" s="92">
        <f t="shared" si="16"/>
        <v>0.33521000000000001</v>
      </c>
      <c r="Q13" s="111">
        <f t="shared" si="7"/>
        <v>0</v>
      </c>
      <c r="R13" s="110">
        <f t="shared" si="8"/>
        <v>0</v>
      </c>
      <c r="S13" s="94">
        <f t="shared" si="9"/>
        <v>0</v>
      </c>
      <c r="T13" s="97">
        <f t="shared" si="17"/>
        <v>0</v>
      </c>
      <c r="U13" s="94">
        <f t="shared" si="10"/>
        <v>0</v>
      </c>
      <c r="V13" s="102"/>
      <c r="W13" s="112"/>
      <c r="X13" s="113"/>
      <c r="Y13" s="113"/>
      <c r="Z13" s="114">
        <v>0</v>
      </c>
      <c r="AA13" s="102">
        <v>0</v>
      </c>
      <c r="AB13" s="102">
        <v>0</v>
      </c>
      <c r="AI13" s="103">
        <f t="shared" si="11"/>
        <v>0.34921000000000002</v>
      </c>
      <c r="AJ13" s="104">
        <f t="shared" si="18"/>
        <v>0.33107999999999999</v>
      </c>
      <c r="AK13" s="104">
        <f t="shared" si="12"/>
        <v>0.33521000000000001</v>
      </c>
      <c r="AL13" s="105"/>
      <c r="AO13" s="105"/>
      <c r="AR13" s="106">
        <f t="shared" si="13"/>
        <v>0.34921000000000002</v>
      </c>
      <c r="AS13" s="107">
        <f t="shared" si="19"/>
        <v>0.33107999999999999</v>
      </c>
      <c r="AT13" s="107">
        <f t="shared" si="14"/>
        <v>0.33521000000000001</v>
      </c>
      <c r="AU13" s="105"/>
      <c r="AX13" s="105"/>
      <c r="BA13" s="105"/>
      <c r="BD13" s="105"/>
    </row>
    <row r="14" spans="1:56" s="74" customFormat="1">
      <c r="A14" s="85" t="s">
        <v>163</v>
      </c>
      <c r="B14" s="108"/>
      <c r="C14" s="109"/>
      <c r="D14" s="88">
        <f t="shared" si="0"/>
        <v>0</v>
      </c>
      <c r="E14" s="116"/>
      <c r="F14" s="90">
        <f t="shared" si="1"/>
        <v>0</v>
      </c>
      <c r="G14" s="91">
        <f t="shared" si="2"/>
        <v>0</v>
      </c>
      <c r="H14" s="92">
        <f t="shared" si="15"/>
        <v>0.33521000000000001</v>
      </c>
      <c r="I14" s="91">
        <f t="shared" si="3"/>
        <v>0</v>
      </c>
      <c r="J14" s="117"/>
      <c r="K14" s="119"/>
      <c r="L14" s="110">
        <f t="shared" si="4"/>
        <v>0</v>
      </c>
      <c r="M14" s="120"/>
      <c r="N14" s="94">
        <f t="shared" si="5"/>
        <v>0</v>
      </c>
      <c r="O14" s="110">
        <f t="shared" si="6"/>
        <v>0</v>
      </c>
      <c r="P14" s="92">
        <f t="shared" si="16"/>
        <v>0.33521000000000001</v>
      </c>
      <c r="Q14" s="111">
        <f t="shared" si="7"/>
        <v>0</v>
      </c>
      <c r="R14" s="110">
        <f t="shared" si="8"/>
        <v>0</v>
      </c>
      <c r="S14" s="94">
        <f t="shared" si="9"/>
        <v>0</v>
      </c>
      <c r="T14" s="97">
        <f t="shared" si="17"/>
        <v>0</v>
      </c>
      <c r="U14" s="94">
        <f t="shared" si="10"/>
        <v>0</v>
      </c>
      <c r="V14" s="102"/>
      <c r="W14" s="112"/>
      <c r="X14" s="113"/>
      <c r="Y14" s="113"/>
      <c r="Z14" s="114">
        <v>0</v>
      </c>
      <c r="AA14" s="102">
        <v>0</v>
      </c>
      <c r="AB14" s="102">
        <v>0</v>
      </c>
      <c r="AI14" s="103">
        <f t="shared" si="11"/>
        <v>0.34921000000000002</v>
      </c>
      <c r="AJ14" s="104">
        <f t="shared" si="18"/>
        <v>0.33107999999999999</v>
      </c>
      <c r="AK14" s="104">
        <f t="shared" si="12"/>
        <v>0.33521000000000001</v>
      </c>
      <c r="AL14" s="105"/>
      <c r="AO14" s="105"/>
      <c r="AR14" s="106">
        <f t="shared" si="13"/>
        <v>0.34921000000000002</v>
      </c>
      <c r="AS14" s="107">
        <f t="shared" si="19"/>
        <v>0.33107999999999999</v>
      </c>
      <c r="AT14" s="107">
        <f t="shared" si="14"/>
        <v>0.33521000000000001</v>
      </c>
      <c r="AU14" s="105"/>
      <c r="AX14" s="105"/>
      <c r="BA14" s="105"/>
      <c r="BD14" s="105"/>
    </row>
    <row r="15" spans="1:56" s="74" customFormat="1">
      <c r="A15" s="85" t="s">
        <v>163</v>
      </c>
      <c r="B15" s="121"/>
      <c r="C15" s="122"/>
      <c r="D15" s="88">
        <f t="shared" si="0"/>
        <v>0</v>
      </c>
      <c r="E15" s="123"/>
      <c r="F15" s="90">
        <f t="shared" si="1"/>
        <v>0</v>
      </c>
      <c r="G15" s="91">
        <f t="shared" si="2"/>
        <v>0</v>
      </c>
      <c r="H15" s="92">
        <f t="shared" si="15"/>
        <v>0.33521000000000001</v>
      </c>
      <c r="I15" s="91">
        <f t="shared" si="3"/>
        <v>0</v>
      </c>
      <c r="J15" s="117"/>
      <c r="K15" s="119"/>
      <c r="L15" s="110">
        <f t="shared" si="4"/>
        <v>0</v>
      </c>
      <c r="M15" s="124"/>
      <c r="N15" s="94">
        <f t="shared" si="5"/>
        <v>0</v>
      </c>
      <c r="O15" s="110">
        <f t="shared" si="6"/>
        <v>0</v>
      </c>
      <c r="P15" s="92">
        <f t="shared" si="16"/>
        <v>0.33521000000000001</v>
      </c>
      <c r="Q15" s="111">
        <f t="shared" si="7"/>
        <v>0</v>
      </c>
      <c r="R15" s="110">
        <f t="shared" si="8"/>
        <v>0</v>
      </c>
      <c r="S15" s="94">
        <f t="shared" si="9"/>
        <v>0</v>
      </c>
      <c r="T15" s="97">
        <f t="shared" si="17"/>
        <v>0</v>
      </c>
      <c r="U15" s="94">
        <f t="shared" si="10"/>
        <v>0</v>
      </c>
      <c r="V15" s="102"/>
      <c r="W15" s="112"/>
      <c r="X15" s="113"/>
      <c r="Y15" s="113"/>
      <c r="Z15" s="114">
        <v>0</v>
      </c>
      <c r="AA15" s="102">
        <v>0</v>
      </c>
      <c r="AB15" s="102">
        <v>0</v>
      </c>
      <c r="AI15" s="103">
        <f t="shared" si="11"/>
        <v>0.34921000000000002</v>
      </c>
      <c r="AJ15" s="104">
        <f t="shared" si="18"/>
        <v>0.33107999999999999</v>
      </c>
      <c r="AK15" s="104">
        <f t="shared" si="12"/>
        <v>0.33521000000000001</v>
      </c>
      <c r="AL15" s="105"/>
      <c r="AO15" s="105"/>
      <c r="AR15" s="106">
        <f t="shared" si="13"/>
        <v>0.34921000000000002</v>
      </c>
      <c r="AS15" s="107">
        <f t="shared" si="19"/>
        <v>0.33107999999999999</v>
      </c>
      <c r="AT15" s="107">
        <f t="shared" si="14"/>
        <v>0.33521000000000001</v>
      </c>
      <c r="AU15" s="105"/>
      <c r="AX15" s="105"/>
      <c r="BA15" s="105"/>
      <c r="BD15" s="105"/>
    </row>
    <row r="16" spans="1:56" s="74" customFormat="1">
      <c r="A16" s="85" t="s">
        <v>163</v>
      </c>
      <c r="B16" s="121"/>
      <c r="C16" s="122"/>
      <c r="D16" s="88">
        <f t="shared" si="0"/>
        <v>0</v>
      </c>
      <c r="E16" s="123"/>
      <c r="F16" s="90">
        <f t="shared" si="1"/>
        <v>0</v>
      </c>
      <c r="G16" s="91">
        <f t="shared" si="2"/>
        <v>0</v>
      </c>
      <c r="H16" s="92">
        <f t="shared" si="15"/>
        <v>0.33521000000000001</v>
      </c>
      <c r="I16" s="91">
        <f t="shared" si="3"/>
        <v>0</v>
      </c>
      <c r="J16" s="117"/>
      <c r="K16" s="119"/>
      <c r="L16" s="110">
        <f t="shared" si="4"/>
        <v>0</v>
      </c>
      <c r="M16" s="124"/>
      <c r="N16" s="94">
        <f t="shared" si="5"/>
        <v>0</v>
      </c>
      <c r="O16" s="110">
        <f t="shared" si="6"/>
        <v>0</v>
      </c>
      <c r="P16" s="92">
        <f t="shared" si="16"/>
        <v>0.33521000000000001</v>
      </c>
      <c r="Q16" s="111">
        <f t="shared" si="7"/>
        <v>0</v>
      </c>
      <c r="R16" s="110">
        <f t="shared" si="8"/>
        <v>0</v>
      </c>
      <c r="S16" s="94">
        <f t="shared" si="9"/>
        <v>0</v>
      </c>
      <c r="T16" s="97">
        <f t="shared" si="17"/>
        <v>0</v>
      </c>
      <c r="U16" s="94">
        <f t="shared" si="10"/>
        <v>0</v>
      </c>
      <c r="V16" s="102"/>
      <c r="W16" s="112"/>
      <c r="X16" s="113"/>
      <c r="Y16" s="113"/>
      <c r="Z16" s="114">
        <v>0</v>
      </c>
      <c r="AA16" s="102">
        <v>0</v>
      </c>
      <c r="AB16" s="102">
        <v>0</v>
      </c>
      <c r="AI16" s="103">
        <f t="shared" si="11"/>
        <v>0.34921000000000002</v>
      </c>
      <c r="AJ16" s="104">
        <f t="shared" si="18"/>
        <v>0.33107999999999999</v>
      </c>
      <c r="AK16" s="104">
        <f t="shared" si="12"/>
        <v>0.33521000000000001</v>
      </c>
      <c r="AL16" s="105"/>
      <c r="AO16" s="105"/>
      <c r="AR16" s="106">
        <f t="shared" si="13"/>
        <v>0.34921000000000002</v>
      </c>
      <c r="AS16" s="107">
        <f t="shared" si="19"/>
        <v>0.33107999999999999</v>
      </c>
      <c r="AT16" s="107">
        <f t="shared" si="14"/>
        <v>0.33521000000000001</v>
      </c>
      <c r="AU16" s="105"/>
      <c r="AX16" s="105"/>
      <c r="BA16" s="105"/>
      <c r="BD16" s="105"/>
    </row>
    <row r="17" spans="1:56" s="74" customFormat="1">
      <c r="A17" s="85" t="s">
        <v>163</v>
      </c>
      <c r="B17" s="121"/>
      <c r="C17" s="122"/>
      <c r="D17" s="88">
        <f t="shared" si="0"/>
        <v>0</v>
      </c>
      <c r="E17" s="123"/>
      <c r="F17" s="90">
        <f t="shared" si="1"/>
        <v>0</v>
      </c>
      <c r="G17" s="91">
        <f t="shared" si="2"/>
        <v>0</v>
      </c>
      <c r="H17" s="92">
        <f t="shared" si="15"/>
        <v>0.33521000000000001</v>
      </c>
      <c r="I17" s="91">
        <f t="shared" si="3"/>
        <v>0</v>
      </c>
      <c r="J17" s="117"/>
      <c r="K17" s="119"/>
      <c r="L17" s="110">
        <f t="shared" si="4"/>
        <v>0</v>
      </c>
      <c r="M17" s="124"/>
      <c r="N17" s="94">
        <f t="shared" si="5"/>
        <v>0</v>
      </c>
      <c r="O17" s="110">
        <f t="shared" si="6"/>
        <v>0</v>
      </c>
      <c r="P17" s="92">
        <f t="shared" si="16"/>
        <v>0.33521000000000001</v>
      </c>
      <c r="Q17" s="111">
        <f t="shared" si="7"/>
        <v>0</v>
      </c>
      <c r="R17" s="110">
        <f t="shared" si="8"/>
        <v>0</v>
      </c>
      <c r="S17" s="94">
        <f t="shared" si="9"/>
        <v>0</v>
      </c>
      <c r="T17" s="97">
        <f t="shared" si="17"/>
        <v>0</v>
      </c>
      <c r="U17" s="94">
        <f t="shared" si="10"/>
        <v>0</v>
      </c>
      <c r="V17" s="102"/>
      <c r="W17" s="112"/>
      <c r="X17" s="113"/>
      <c r="Y17" s="113"/>
      <c r="Z17" s="114">
        <v>0</v>
      </c>
      <c r="AA17" s="102">
        <v>0</v>
      </c>
      <c r="AB17" s="102">
        <v>0</v>
      </c>
      <c r="AI17" s="103">
        <f t="shared" si="11"/>
        <v>0.34921000000000002</v>
      </c>
      <c r="AJ17" s="104">
        <f t="shared" si="18"/>
        <v>0.33107999999999999</v>
      </c>
      <c r="AK17" s="104">
        <f t="shared" si="12"/>
        <v>0.33521000000000001</v>
      </c>
      <c r="AL17" s="105"/>
      <c r="AO17" s="105"/>
      <c r="AR17" s="106">
        <f t="shared" si="13"/>
        <v>0.34921000000000002</v>
      </c>
      <c r="AS17" s="107">
        <f t="shared" si="19"/>
        <v>0.33107999999999999</v>
      </c>
      <c r="AT17" s="107">
        <f t="shared" si="14"/>
        <v>0.33521000000000001</v>
      </c>
      <c r="AU17" s="105"/>
      <c r="AX17" s="105"/>
      <c r="BA17" s="105"/>
      <c r="BD17" s="105"/>
    </row>
    <row r="18" spans="1:56" s="74" customFormat="1">
      <c r="A18" s="85" t="s">
        <v>163</v>
      </c>
      <c r="B18" s="121"/>
      <c r="C18" s="122"/>
      <c r="D18" s="88">
        <f t="shared" si="0"/>
        <v>0</v>
      </c>
      <c r="E18" s="123"/>
      <c r="F18" s="90">
        <f t="shared" si="1"/>
        <v>0</v>
      </c>
      <c r="G18" s="91">
        <f t="shared" si="2"/>
        <v>0</v>
      </c>
      <c r="H18" s="92">
        <f t="shared" si="15"/>
        <v>0.33521000000000001</v>
      </c>
      <c r="I18" s="91">
        <f t="shared" si="3"/>
        <v>0</v>
      </c>
      <c r="J18" s="117"/>
      <c r="K18" s="119"/>
      <c r="L18" s="110">
        <f t="shared" si="4"/>
        <v>0</v>
      </c>
      <c r="M18" s="125"/>
      <c r="N18" s="94">
        <f t="shared" si="5"/>
        <v>0</v>
      </c>
      <c r="O18" s="110">
        <f t="shared" si="6"/>
        <v>0</v>
      </c>
      <c r="P18" s="92">
        <f t="shared" si="16"/>
        <v>0.33521000000000001</v>
      </c>
      <c r="Q18" s="111">
        <f t="shared" si="7"/>
        <v>0</v>
      </c>
      <c r="R18" s="110">
        <f t="shared" si="8"/>
        <v>0</v>
      </c>
      <c r="S18" s="94">
        <f t="shared" si="9"/>
        <v>0</v>
      </c>
      <c r="T18" s="97">
        <f t="shared" si="17"/>
        <v>0</v>
      </c>
      <c r="U18" s="94">
        <f t="shared" si="10"/>
        <v>0</v>
      </c>
      <c r="V18" s="102"/>
      <c r="W18" s="112"/>
      <c r="X18" s="113"/>
      <c r="Y18" s="113"/>
      <c r="Z18" s="114">
        <v>0</v>
      </c>
      <c r="AA18" s="102">
        <v>0</v>
      </c>
      <c r="AB18" s="102">
        <v>0</v>
      </c>
      <c r="AI18" s="103">
        <f t="shared" si="11"/>
        <v>0.34921000000000002</v>
      </c>
      <c r="AJ18" s="104">
        <f t="shared" si="18"/>
        <v>0.33107999999999999</v>
      </c>
      <c r="AK18" s="104">
        <f t="shared" si="12"/>
        <v>0.33521000000000001</v>
      </c>
      <c r="AL18" s="105"/>
      <c r="AO18" s="105"/>
      <c r="AR18" s="106">
        <f t="shared" si="13"/>
        <v>0.34921000000000002</v>
      </c>
      <c r="AS18" s="107">
        <f t="shared" si="19"/>
        <v>0.33107999999999999</v>
      </c>
      <c r="AT18" s="107">
        <f t="shared" si="14"/>
        <v>0.33521000000000001</v>
      </c>
      <c r="AU18" s="105"/>
      <c r="AX18" s="105"/>
      <c r="BA18" s="105"/>
      <c r="BD18" s="105"/>
    </row>
    <row r="19" spans="1:56" s="74" customFormat="1">
      <c r="A19" s="85" t="s">
        <v>163</v>
      </c>
      <c r="B19" s="121"/>
      <c r="C19" s="122"/>
      <c r="D19" s="88">
        <f t="shared" si="0"/>
        <v>0</v>
      </c>
      <c r="E19" s="123"/>
      <c r="F19" s="90">
        <f t="shared" si="1"/>
        <v>0</v>
      </c>
      <c r="G19" s="91">
        <f t="shared" si="2"/>
        <v>0</v>
      </c>
      <c r="H19" s="92">
        <f t="shared" si="15"/>
        <v>0.33521000000000001</v>
      </c>
      <c r="I19" s="91">
        <f t="shared" si="3"/>
        <v>0</v>
      </c>
      <c r="J19" s="117"/>
      <c r="K19" s="119"/>
      <c r="L19" s="110">
        <f t="shared" si="4"/>
        <v>0</v>
      </c>
      <c r="M19" s="125"/>
      <c r="N19" s="94">
        <f t="shared" si="5"/>
        <v>0</v>
      </c>
      <c r="O19" s="110">
        <f t="shared" si="6"/>
        <v>0</v>
      </c>
      <c r="P19" s="92">
        <f t="shared" si="16"/>
        <v>0.33521000000000001</v>
      </c>
      <c r="Q19" s="111">
        <f t="shared" si="7"/>
        <v>0</v>
      </c>
      <c r="R19" s="110">
        <f t="shared" si="8"/>
        <v>0</v>
      </c>
      <c r="S19" s="94">
        <f t="shared" si="9"/>
        <v>0</v>
      </c>
      <c r="T19" s="97">
        <f t="shared" si="17"/>
        <v>0</v>
      </c>
      <c r="U19" s="94">
        <f t="shared" si="10"/>
        <v>0</v>
      </c>
      <c r="V19" s="102"/>
      <c r="W19" s="112"/>
      <c r="X19" s="113"/>
      <c r="Y19" s="113"/>
      <c r="Z19" s="114">
        <v>0</v>
      </c>
      <c r="AA19" s="102">
        <v>0</v>
      </c>
      <c r="AB19" s="102">
        <v>0</v>
      </c>
      <c r="AI19" s="103">
        <f t="shared" si="11"/>
        <v>0.34921000000000002</v>
      </c>
      <c r="AJ19" s="104">
        <f t="shared" si="18"/>
        <v>0.33107999999999999</v>
      </c>
      <c r="AK19" s="104">
        <f t="shared" si="12"/>
        <v>0.33521000000000001</v>
      </c>
      <c r="AL19" s="105"/>
      <c r="AO19" s="105"/>
      <c r="AR19" s="103">
        <f t="shared" si="13"/>
        <v>0.34921000000000002</v>
      </c>
      <c r="AS19" s="104">
        <f t="shared" si="19"/>
        <v>0.33107999999999999</v>
      </c>
      <c r="AT19" s="104">
        <f t="shared" si="14"/>
        <v>0.33521000000000001</v>
      </c>
      <c r="AU19" s="105"/>
      <c r="AX19" s="105"/>
      <c r="BA19" s="105"/>
      <c r="BD19" s="105"/>
    </row>
    <row r="20" spans="1:56" s="74" customFormat="1">
      <c r="A20" s="85" t="s">
        <v>163</v>
      </c>
      <c r="B20" s="121"/>
      <c r="C20" s="122"/>
      <c r="D20" s="88">
        <f t="shared" si="0"/>
        <v>0</v>
      </c>
      <c r="E20" s="123"/>
      <c r="F20" s="90">
        <f t="shared" si="1"/>
        <v>0</v>
      </c>
      <c r="G20" s="91">
        <f t="shared" si="2"/>
        <v>0</v>
      </c>
      <c r="H20" s="92">
        <f t="shared" si="15"/>
        <v>0.33521000000000001</v>
      </c>
      <c r="I20" s="91">
        <f t="shared" si="3"/>
        <v>0</v>
      </c>
      <c r="J20" s="117"/>
      <c r="K20" s="119"/>
      <c r="L20" s="110">
        <f t="shared" si="4"/>
        <v>0</v>
      </c>
      <c r="M20" s="125"/>
      <c r="N20" s="94">
        <f t="shared" si="5"/>
        <v>0</v>
      </c>
      <c r="O20" s="110">
        <f t="shared" si="6"/>
        <v>0</v>
      </c>
      <c r="P20" s="92">
        <f t="shared" si="16"/>
        <v>0.33521000000000001</v>
      </c>
      <c r="Q20" s="111">
        <f t="shared" si="7"/>
        <v>0</v>
      </c>
      <c r="R20" s="110">
        <f t="shared" si="8"/>
        <v>0</v>
      </c>
      <c r="S20" s="94">
        <f t="shared" si="9"/>
        <v>0</v>
      </c>
      <c r="T20" s="97">
        <f t="shared" si="17"/>
        <v>0</v>
      </c>
      <c r="U20" s="94">
        <f t="shared" si="10"/>
        <v>0</v>
      </c>
      <c r="V20" s="102"/>
      <c r="W20" s="112"/>
      <c r="X20" s="113"/>
      <c r="Y20" s="113"/>
      <c r="Z20" s="114">
        <v>0</v>
      </c>
      <c r="AA20" s="102">
        <v>0</v>
      </c>
      <c r="AB20" s="102">
        <v>0</v>
      </c>
      <c r="AI20" s="103">
        <f t="shared" si="11"/>
        <v>0.34921000000000002</v>
      </c>
      <c r="AJ20" s="104">
        <f t="shared" si="18"/>
        <v>0.33107999999999999</v>
      </c>
      <c r="AK20" s="104">
        <f t="shared" si="12"/>
        <v>0.33521000000000001</v>
      </c>
      <c r="AL20" s="105"/>
      <c r="AO20" s="105"/>
      <c r="AR20" s="103">
        <f t="shared" si="13"/>
        <v>0.34921000000000002</v>
      </c>
      <c r="AS20" s="104">
        <f t="shared" si="19"/>
        <v>0.33107999999999999</v>
      </c>
      <c r="AT20" s="104">
        <f t="shared" si="14"/>
        <v>0.33521000000000001</v>
      </c>
      <c r="AU20" s="105"/>
      <c r="AX20" s="105"/>
      <c r="BA20" s="105"/>
      <c r="BD20" s="105"/>
    </row>
    <row r="21" spans="1:56" s="74" customFormat="1">
      <c r="A21" s="85" t="s">
        <v>163</v>
      </c>
      <c r="B21" s="121"/>
      <c r="C21" s="122"/>
      <c r="D21" s="88">
        <f t="shared" si="0"/>
        <v>0</v>
      </c>
      <c r="E21" s="123"/>
      <c r="F21" s="90">
        <f t="shared" si="1"/>
        <v>0</v>
      </c>
      <c r="G21" s="91">
        <f t="shared" si="2"/>
        <v>0</v>
      </c>
      <c r="H21" s="92">
        <f t="shared" si="15"/>
        <v>0.33521000000000001</v>
      </c>
      <c r="I21" s="91">
        <f t="shared" si="3"/>
        <v>0</v>
      </c>
      <c r="J21" s="117"/>
      <c r="K21" s="119"/>
      <c r="L21" s="110">
        <f t="shared" si="4"/>
        <v>0</v>
      </c>
      <c r="M21" s="125"/>
      <c r="N21" s="94">
        <f t="shared" si="5"/>
        <v>0</v>
      </c>
      <c r="O21" s="110">
        <f t="shared" si="6"/>
        <v>0</v>
      </c>
      <c r="P21" s="92">
        <f t="shared" si="16"/>
        <v>0.33521000000000001</v>
      </c>
      <c r="Q21" s="111">
        <f t="shared" si="7"/>
        <v>0</v>
      </c>
      <c r="R21" s="110">
        <f t="shared" si="8"/>
        <v>0</v>
      </c>
      <c r="S21" s="94">
        <f t="shared" si="9"/>
        <v>0</v>
      </c>
      <c r="T21" s="97">
        <f t="shared" si="17"/>
        <v>0</v>
      </c>
      <c r="U21" s="94">
        <f t="shared" si="10"/>
        <v>0</v>
      </c>
      <c r="V21" s="102"/>
      <c r="W21" s="112"/>
      <c r="X21" s="113"/>
      <c r="Y21" s="113"/>
      <c r="Z21" s="114">
        <v>0</v>
      </c>
      <c r="AA21" s="102">
        <v>0</v>
      </c>
      <c r="AB21" s="102">
        <v>0</v>
      </c>
      <c r="AI21" s="103">
        <f t="shared" si="11"/>
        <v>0.34921000000000002</v>
      </c>
      <c r="AJ21" s="104">
        <f t="shared" si="18"/>
        <v>0.33107999999999999</v>
      </c>
      <c r="AK21" s="104">
        <f t="shared" si="12"/>
        <v>0.33521000000000001</v>
      </c>
      <c r="AL21" s="105"/>
      <c r="AO21" s="105"/>
      <c r="AR21" s="103">
        <f t="shared" si="13"/>
        <v>0.34921000000000002</v>
      </c>
      <c r="AS21" s="104">
        <f t="shared" si="19"/>
        <v>0.33107999999999999</v>
      </c>
      <c r="AT21" s="104">
        <f t="shared" si="14"/>
        <v>0.33521000000000001</v>
      </c>
      <c r="AU21" s="105"/>
      <c r="AX21" s="105"/>
      <c r="BA21" s="105"/>
      <c r="BD21" s="105"/>
    </row>
    <row r="22" spans="1:56" s="74" customFormat="1" ht="14.4" thickBot="1">
      <c r="A22" s="126"/>
      <c r="B22" s="121"/>
      <c r="C22" s="122"/>
      <c r="D22" s="88">
        <f t="shared" si="0"/>
        <v>0</v>
      </c>
      <c r="E22" s="123"/>
      <c r="F22" s="90">
        <f t="shared" si="1"/>
        <v>0</v>
      </c>
      <c r="G22" s="91">
        <f t="shared" si="2"/>
        <v>0</v>
      </c>
      <c r="H22" s="92">
        <f t="shared" si="15"/>
        <v>0.33521000000000001</v>
      </c>
      <c r="I22" s="91">
        <f t="shared" si="3"/>
        <v>0</v>
      </c>
      <c r="J22" s="117"/>
      <c r="K22" s="127"/>
      <c r="L22" s="110">
        <f t="shared" si="4"/>
        <v>0</v>
      </c>
      <c r="M22" s="125"/>
      <c r="N22" s="94">
        <f t="shared" si="5"/>
        <v>0</v>
      </c>
      <c r="O22" s="110">
        <f t="shared" si="6"/>
        <v>0</v>
      </c>
      <c r="P22" s="92">
        <f t="shared" si="16"/>
        <v>0.33521000000000001</v>
      </c>
      <c r="Q22" s="111">
        <f t="shared" si="7"/>
        <v>0</v>
      </c>
      <c r="R22" s="128">
        <f t="shared" si="8"/>
        <v>0</v>
      </c>
      <c r="S22" s="94">
        <f t="shared" si="9"/>
        <v>0</v>
      </c>
      <c r="T22" s="97">
        <f t="shared" si="17"/>
        <v>0</v>
      </c>
      <c r="U22" s="129">
        <f t="shared" si="10"/>
        <v>0</v>
      </c>
      <c r="V22" s="130"/>
      <c r="W22" s="131"/>
      <c r="X22" s="132"/>
      <c r="Y22" s="132"/>
      <c r="Z22" s="114">
        <v>0</v>
      </c>
      <c r="AA22" s="102">
        <v>0</v>
      </c>
      <c r="AB22" s="102">
        <v>0</v>
      </c>
      <c r="AI22" s="133">
        <f t="shared" si="11"/>
        <v>0.34921000000000002</v>
      </c>
      <c r="AJ22" s="134">
        <f t="shared" si="18"/>
        <v>0.33107999999999999</v>
      </c>
      <c r="AK22" s="134">
        <f t="shared" si="12"/>
        <v>0.33521000000000001</v>
      </c>
      <c r="AL22" s="105"/>
      <c r="AO22" s="105"/>
      <c r="AR22" s="133">
        <f t="shared" si="13"/>
        <v>0.34921000000000002</v>
      </c>
      <c r="AS22" s="134">
        <f t="shared" si="19"/>
        <v>0.33107999999999999</v>
      </c>
      <c r="AT22" s="134">
        <f t="shared" si="14"/>
        <v>0.33521000000000001</v>
      </c>
      <c r="AU22" s="105"/>
      <c r="AX22" s="105"/>
      <c r="BA22" s="105"/>
      <c r="BD22" s="105"/>
    </row>
    <row r="23" spans="1:56" s="74" customFormat="1" ht="14.4" thickBot="1">
      <c r="A23" s="135" t="s">
        <v>47</v>
      </c>
      <c r="B23" s="136">
        <f>SUM(B5:B22)</f>
        <v>476</v>
      </c>
      <c r="C23" s="137"/>
      <c r="D23" s="138">
        <f>SUM(D5:D22)</f>
        <v>165310</v>
      </c>
      <c r="E23" s="139"/>
      <c r="F23" s="139"/>
      <c r="G23" s="138">
        <f>SUM(G5:G22)</f>
        <v>16531000</v>
      </c>
      <c r="H23" s="140"/>
      <c r="I23" s="138">
        <f>SUM(I5:I22)</f>
        <v>482.66593218711375</v>
      </c>
      <c r="J23" s="141">
        <f>SUM(J5:J22)</f>
        <v>526</v>
      </c>
      <c r="K23" s="139"/>
      <c r="L23" s="141">
        <f>SUM(L5:L22)</f>
        <v>180110</v>
      </c>
      <c r="M23" s="142"/>
      <c r="N23" s="140"/>
      <c r="O23" s="141">
        <f>SUM(O5:O22)</f>
        <v>28972200</v>
      </c>
      <c r="P23" s="139"/>
      <c r="Q23" s="138">
        <f>SUM(Q5:Q22)</f>
        <v>525.00404227941419</v>
      </c>
      <c r="R23" s="143">
        <f>SUM(R5:R22)</f>
        <v>50</v>
      </c>
      <c r="S23" s="141">
        <f t="shared" si="9"/>
        <v>14800</v>
      </c>
      <c r="T23" s="138">
        <f>SUM(T5:T22)</f>
        <v>42.338110092300397</v>
      </c>
      <c r="U23" s="144">
        <f>SUM(U5:U22)</f>
        <v>12441200</v>
      </c>
      <c r="V23" s="145"/>
      <c r="W23" s="146"/>
      <c r="X23" s="146"/>
      <c r="Y23" s="142"/>
      <c r="Z23" s="140"/>
      <c r="AA23" s="140"/>
      <c r="AB23" s="140"/>
    </row>
    <row r="24" spans="1:56" s="74" customFormat="1" ht="14.4" thickBot="1">
      <c r="V24" s="147"/>
    </row>
    <row r="25" spans="1:56" s="69" customFormat="1" ht="14.4" thickBot="1">
      <c r="A25" s="148" t="s">
        <v>48</v>
      </c>
      <c r="B25" s="149">
        <f>B23+E58+'3.Nacim'!E16-J23-E89-'4.Muertes'!N17</f>
        <v>0</v>
      </c>
      <c r="C25" s="149" t="str">
        <f>IF(B25=0,"Correcto","Revisar")</f>
        <v>Correcto</v>
      </c>
      <c r="E25" s="177"/>
      <c r="F25" s="177"/>
      <c r="G25" s="177"/>
      <c r="H25" s="177"/>
      <c r="I25" s="177"/>
      <c r="J25" s="177"/>
      <c r="K25" s="177"/>
      <c r="L25" s="177"/>
      <c r="M25" s="177"/>
      <c r="N25" s="150"/>
      <c r="O25" s="150"/>
      <c r="P25" s="150"/>
    </row>
    <row r="26" spans="1:56" s="69" customFormat="1" ht="14.4" thickBot="1">
      <c r="A26" s="178" t="s">
        <v>118</v>
      </c>
      <c r="B26" s="179">
        <f>+'3.Nacim'!E16</f>
        <v>242</v>
      </c>
      <c r="C26" s="151"/>
      <c r="E26" s="152"/>
      <c r="F26" s="152"/>
      <c r="G26" s="152"/>
      <c r="H26" s="152"/>
      <c r="I26" s="152"/>
      <c r="J26" s="152"/>
      <c r="K26" s="152"/>
      <c r="L26" s="152"/>
      <c r="M26" s="152"/>
      <c r="N26" s="153"/>
      <c r="O26" s="153"/>
      <c r="P26" s="153"/>
    </row>
    <row r="27" spans="1:56" s="69" customFormat="1" ht="14.4" thickBot="1">
      <c r="A27" s="180" t="s">
        <v>119</v>
      </c>
      <c r="B27" s="181">
        <f>+E89-E58</f>
        <v>177</v>
      </c>
      <c r="C27" s="154"/>
      <c r="E27" s="152"/>
      <c r="F27" s="152"/>
      <c r="G27" s="152"/>
      <c r="H27" s="152"/>
      <c r="I27" s="152"/>
      <c r="J27" s="152"/>
      <c r="K27" s="152"/>
      <c r="L27" s="152"/>
      <c r="M27" s="152"/>
      <c r="N27" s="153"/>
      <c r="O27" s="153"/>
      <c r="P27" s="153"/>
    </row>
    <row r="28" spans="1:56" s="69" customFormat="1" ht="14.4" thickBot="1">
      <c r="A28" s="180" t="s">
        <v>117</v>
      </c>
      <c r="B28" s="181">
        <f>+R23</f>
        <v>50</v>
      </c>
      <c r="C28" s="154"/>
      <c r="E28" s="152"/>
      <c r="F28" s="152"/>
      <c r="G28" s="152"/>
      <c r="H28" s="152"/>
      <c r="I28" s="152"/>
      <c r="J28" s="152"/>
      <c r="K28" s="152"/>
      <c r="L28" s="152"/>
      <c r="M28" s="152"/>
      <c r="N28" s="153"/>
      <c r="O28" s="153"/>
      <c r="P28" s="153"/>
    </row>
    <row r="29" spans="1:56" s="69" customFormat="1" ht="14.4" thickBot="1">
      <c r="A29" s="180" t="s">
        <v>120</v>
      </c>
      <c r="B29" s="181">
        <f>+'4.Muertes'!N17</f>
        <v>15</v>
      </c>
      <c r="C29" s="154"/>
      <c r="Y29" s="155" t="s">
        <v>163</v>
      </c>
    </row>
    <row r="30" spans="1:56" s="69" customFormat="1" ht="14.4" thickBot="1">
      <c r="A30" s="182"/>
      <c r="B30" s="183"/>
      <c r="C30" s="156"/>
      <c r="W30" s="69" t="s">
        <v>167</v>
      </c>
      <c r="X30" s="69" t="s">
        <v>169</v>
      </c>
      <c r="Y30" s="157" t="s">
        <v>1</v>
      </c>
    </row>
    <row r="31" spans="1:56" ht="14.4" thickBot="1">
      <c r="A31" s="789" t="s">
        <v>18</v>
      </c>
      <c r="B31" s="790"/>
      <c r="C31" s="790"/>
      <c r="D31" s="790"/>
      <c r="E31" s="790"/>
      <c r="F31" s="790"/>
      <c r="G31" s="790"/>
      <c r="H31" s="791"/>
      <c r="T31" s="69"/>
      <c r="U31" s="69"/>
      <c r="V31" s="69"/>
      <c r="W31" s="69" t="s">
        <v>164</v>
      </c>
      <c r="X31" s="69" t="s">
        <v>168</v>
      </c>
      <c r="Y31" s="158" t="s">
        <v>88</v>
      </c>
      <c r="Z31" s="69"/>
      <c r="AA31" s="69"/>
      <c r="AB31" s="69"/>
      <c r="AC31" s="69"/>
      <c r="AD31" s="69"/>
      <c r="AE31" s="69"/>
    </row>
    <row r="32" spans="1:56" s="74" customFormat="1" ht="14.4" thickBot="1">
      <c r="A32" s="148"/>
      <c r="B32" s="184" t="s">
        <v>115</v>
      </c>
      <c r="C32" s="185" t="s">
        <v>19</v>
      </c>
      <c r="D32" s="137" t="s">
        <v>89</v>
      </c>
      <c r="E32" s="137" t="s">
        <v>53</v>
      </c>
      <c r="F32" s="137" t="s">
        <v>54</v>
      </c>
      <c r="G32" s="137" t="s">
        <v>93</v>
      </c>
      <c r="H32" s="186" t="s">
        <v>50</v>
      </c>
      <c r="I32" s="137" t="s">
        <v>0</v>
      </c>
      <c r="J32" s="71"/>
      <c r="V32" s="163"/>
      <c r="W32" s="74" t="s">
        <v>165</v>
      </c>
      <c r="X32" s="74" t="s">
        <v>166</v>
      </c>
      <c r="Y32" s="157" t="s">
        <v>8</v>
      </c>
    </row>
    <row r="33" spans="1:25" s="74" customFormat="1" ht="20.25" customHeight="1" thickBot="1">
      <c r="A33" s="788" t="s">
        <v>56</v>
      </c>
      <c r="B33" s="187" t="s">
        <v>3</v>
      </c>
      <c r="C33" s="188"/>
      <c r="D33" s="159"/>
      <c r="E33" s="160"/>
      <c r="F33" s="160"/>
      <c r="G33" s="162">
        <f t="shared" ref="G33:G57" si="20">F33*E33</f>
        <v>0</v>
      </c>
      <c r="H33" s="161"/>
      <c r="I33" s="162">
        <f t="shared" ref="I33:I57" si="21">+G33*H33</f>
        <v>0</v>
      </c>
      <c r="J33" s="71"/>
      <c r="V33" s="163"/>
      <c r="W33" s="74" t="s">
        <v>166</v>
      </c>
      <c r="Y33" s="157" t="s">
        <v>9</v>
      </c>
    </row>
    <row r="34" spans="1:25" s="74" customFormat="1" ht="20.25" customHeight="1" thickBot="1">
      <c r="A34" s="788"/>
      <c r="B34" s="189" t="s">
        <v>163</v>
      </c>
      <c r="C34" s="164"/>
      <c r="D34" s="165"/>
      <c r="E34" s="166"/>
      <c r="F34" s="166"/>
      <c r="G34" s="190">
        <f t="shared" si="20"/>
        <v>0</v>
      </c>
      <c r="H34" s="167"/>
      <c r="I34" s="190">
        <f t="shared" si="21"/>
        <v>0</v>
      </c>
      <c r="J34" s="191"/>
      <c r="V34" s="163"/>
      <c r="Y34" s="157" t="s">
        <v>10</v>
      </c>
    </row>
    <row r="35" spans="1:25" s="74" customFormat="1" ht="20.25" customHeight="1" thickBot="1">
      <c r="A35" s="788"/>
      <c r="B35" s="189" t="s">
        <v>163</v>
      </c>
      <c r="C35" s="164"/>
      <c r="D35" s="165"/>
      <c r="E35" s="166"/>
      <c r="F35" s="166"/>
      <c r="G35" s="190">
        <f t="shared" ref="G35:G39" si="22">F35*E35</f>
        <v>0</v>
      </c>
      <c r="H35" s="167"/>
      <c r="I35" s="190">
        <f t="shared" ref="I35:I39" si="23">+G35*H35</f>
        <v>0</v>
      </c>
      <c r="J35" s="191"/>
      <c r="V35" s="163"/>
      <c r="Y35" s="157" t="s">
        <v>223</v>
      </c>
    </row>
    <row r="36" spans="1:25" s="74" customFormat="1" ht="20.25" customHeight="1" thickBot="1">
      <c r="A36" s="788"/>
      <c r="B36" s="189" t="s">
        <v>163</v>
      </c>
      <c r="C36" s="164"/>
      <c r="D36" s="165"/>
      <c r="E36" s="166"/>
      <c r="F36" s="166"/>
      <c r="G36" s="190">
        <f t="shared" si="22"/>
        <v>0</v>
      </c>
      <c r="H36" s="167"/>
      <c r="I36" s="190">
        <f t="shared" si="23"/>
        <v>0</v>
      </c>
      <c r="J36" s="191"/>
      <c r="V36" s="163"/>
      <c r="Y36" s="157" t="s">
        <v>113</v>
      </c>
    </row>
    <row r="37" spans="1:25" s="74" customFormat="1" ht="20.25" customHeight="1" thickBot="1">
      <c r="A37" s="788"/>
      <c r="B37" s="189" t="s">
        <v>163</v>
      </c>
      <c r="C37" s="164"/>
      <c r="D37" s="165"/>
      <c r="E37" s="166"/>
      <c r="F37" s="166"/>
      <c r="G37" s="190">
        <f t="shared" si="22"/>
        <v>0</v>
      </c>
      <c r="H37" s="167"/>
      <c r="I37" s="190">
        <f t="shared" si="23"/>
        <v>0</v>
      </c>
      <c r="J37" s="191"/>
      <c r="V37" s="163"/>
      <c r="Y37" s="157" t="s">
        <v>3</v>
      </c>
    </row>
    <row r="38" spans="1:25" s="74" customFormat="1" ht="20.25" customHeight="1" thickBot="1">
      <c r="A38" s="788"/>
      <c r="B38" s="189" t="s">
        <v>163</v>
      </c>
      <c r="C38" s="164"/>
      <c r="D38" s="165"/>
      <c r="E38" s="166"/>
      <c r="F38" s="166"/>
      <c r="G38" s="190">
        <f t="shared" si="22"/>
        <v>0</v>
      </c>
      <c r="H38" s="167"/>
      <c r="I38" s="190">
        <f t="shared" si="23"/>
        <v>0</v>
      </c>
      <c r="J38" s="191"/>
      <c r="V38" s="163"/>
      <c r="Y38" s="157" t="s">
        <v>2</v>
      </c>
    </row>
    <row r="39" spans="1:25" s="74" customFormat="1" ht="20.25" customHeight="1" thickBot="1">
      <c r="A39" s="788"/>
      <c r="B39" s="189" t="s">
        <v>163</v>
      </c>
      <c r="C39" s="164"/>
      <c r="D39" s="165"/>
      <c r="E39" s="166"/>
      <c r="F39" s="166"/>
      <c r="G39" s="190">
        <f t="shared" si="22"/>
        <v>0</v>
      </c>
      <c r="H39" s="167"/>
      <c r="I39" s="190">
        <f t="shared" si="23"/>
        <v>0</v>
      </c>
      <c r="J39" s="191"/>
      <c r="V39" s="163"/>
      <c r="Y39" s="157" t="s">
        <v>87</v>
      </c>
    </row>
    <row r="40" spans="1:25" s="74" customFormat="1" ht="20.25" customHeight="1" thickBot="1">
      <c r="A40" s="788"/>
      <c r="B40" s="189" t="s">
        <v>163</v>
      </c>
      <c r="C40" s="164"/>
      <c r="D40" s="165"/>
      <c r="E40" s="166"/>
      <c r="F40" s="166"/>
      <c r="G40" s="190">
        <f t="shared" si="20"/>
        <v>0</v>
      </c>
      <c r="H40" s="167"/>
      <c r="I40" s="190">
        <f t="shared" si="21"/>
        <v>0</v>
      </c>
      <c r="J40" s="191"/>
      <c r="V40" s="163"/>
      <c r="Y40" s="157" t="s">
        <v>12</v>
      </c>
    </row>
    <row r="41" spans="1:25" s="74" customFormat="1" ht="20.25" customHeight="1" thickBot="1">
      <c r="A41" s="788"/>
      <c r="B41" s="189" t="s">
        <v>163</v>
      </c>
      <c r="C41" s="164"/>
      <c r="D41" s="165"/>
      <c r="E41" s="166"/>
      <c r="F41" s="166"/>
      <c r="G41" s="190">
        <f t="shared" si="20"/>
        <v>0</v>
      </c>
      <c r="H41" s="167"/>
      <c r="I41" s="190">
        <f t="shared" si="21"/>
        <v>0</v>
      </c>
      <c r="J41" s="191"/>
      <c r="V41" s="163"/>
      <c r="Y41" s="157" t="s">
        <v>11</v>
      </c>
    </row>
    <row r="42" spans="1:25" s="74" customFormat="1" ht="20.25" customHeight="1" thickBot="1">
      <c r="A42" s="788"/>
      <c r="B42" s="189" t="s">
        <v>163</v>
      </c>
      <c r="C42" s="164"/>
      <c r="D42" s="165"/>
      <c r="E42" s="166"/>
      <c r="F42" s="166"/>
      <c r="G42" s="190">
        <f t="shared" si="20"/>
        <v>0</v>
      </c>
      <c r="H42" s="167"/>
      <c r="I42" s="190">
        <f t="shared" si="21"/>
        <v>0</v>
      </c>
      <c r="J42" s="191"/>
      <c r="V42" s="163"/>
      <c r="Y42" s="157" t="s">
        <v>223</v>
      </c>
    </row>
    <row r="43" spans="1:25" s="74" customFormat="1" ht="20.25" customHeight="1" thickBot="1">
      <c r="A43" s="788"/>
      <c r="B43" s="189" t="s">
        <v>163</v>
      </c>
      <c r="C43" s="164"/>
      <c r="D43" s="165"/>
      <c r="E43" s="166"/>
      <c r="F43" s="166"/>
      <c r="G43" s="190">
        <f t="shared" si="20"/>
        <v>0</v>
      </c>
      <c r="H43" s="167"/>
      <c r="I43" s="190">
        <f t="shared" si="21"/>
        <v>0</v>
      </c>
      <c r="J43" s="191"/>
      <c r="V43" s="163"/>
      <c r="Y43" s="157" t="s">
        <v>114</v>
      </c>
    </row>
    <row r="44" spans="1:25" s="74" customFormat="1" ht="20.25" customHeight="1" thickBot="1">
      <c r="A44" s="793"/>
      <c r="B44" s="189" t="s">
        <v>163</v>
      </c>
      <c r="C44" s="164"/>
      <c r="D44" s="165"/>
      <c r="E44" s="166"/>
      <c r="F44" s="166"/>
      <c r="G44" s="190">
        <f t="shared" si="20"/>
        <v>0</v>
      </c>
      <c r="H44" s="167"/>
      <c r="I44" s="190">
        <f t="shared" si="21"/>
        <v>0</v>
      </c>
      <c r="J44" s="191"/>
      <c r="V44" s="163"/>
      <c r="Y44" s="157" t="s">
        <v>104</v>
      </c>
    </row>
    <row r="45" spans="1:25" s="74" customFormat="1" ht="20.25" customHeight="1" thickBot="1">
      <c r="A45" s="792" t="s">
        <v>57</v>
      </c>
      <c r="B45" s="192" t="s">
        <v>163</v>
      </c>
      <c r="C45" s="168"/>
      <c r="D45" s="159"/>
      <c r="E45" s="160"/>
      <c r="F45" s="160"/>
      <c r="G45" s="162">
        <f t="shared" si="20"/>
        <v>0</v>
      </c>
      <c r="H45" s="161"/>
      <c r="I45" s="162">
        <f t="shared" si="21"/>
        <v>0</v>
      </c>
      <c r="J45" s="191"/>
      <c r="V45" s="163"/>
      <c r="Y45" s="157" t="s">
        <v>162</v>
      </c>
    </row>
    <row r="46" spans="1:25" s="74" customFormat="1" ht="20.25" customHeight="1" thickBot="1">
      <c r="A46" s="788"/>
      <c r="B46" s="193" t="s">
        <v>163</v>
      </c>
      <c r="C46" s="169"/>
      <c r="D46" s="165"/>
      <c r="E46" s="166"/>
      <c r="F46" s="166"/>
      <c r="G46" s="190">
        <f t="shared" ref="G46:G50" si="24">F46*E46</f>
        <v>0</v>
      </c>
      <c r="H46" s="167"/>
      <c r="I46" s="190">
        <f t="shared" ref="I46:I50" si="25">+G46*H46</f>
        <v>0</v>
      </c>
      <c r="J46" s="191"/>
      <c r="V46" s="163"/>
      <c r="Y46" s="170" t="s">
        <v>105</v>
      </c>
    </row>
    <row r="47" spans="1:25" s="74" customFormat="1" ht="20.25" customHeight="1" thickBot="1">
      <c r="A47" s="788"/>
      <c r="B47" s="193" t="s">
        <v>163</v>
      </c>
      <c r="C47" s="169"/>
      <c r="D47" s="165"/>
      <c r="E47" s="166"/>
      <c r="F47" s="166"/>
      <c r="G47" s="190">
        <f t="shared" si="24"/>
        <v>0</v>
      </c>
      <c r="H47" s="167"/>
      <c r="I47" s="190">
        <f t="shared" si="25"/>
        <v>0</v>
      </c>
      <c r="J47" s="191"/>
      <c r="V47" s="163"/>
    </row>
    <row r="48" spans="1:25" s="74" customFormat="1" ht="20.25" customHeight="1" thickBot="1">
      <c r="A48" s="788"/>
      <c r="B48" s="193" t="s">
        <v>163</v>
      </c>
      <c r="C48" s="169"/>
      <c r="D48" s="165"/>
      <c r="E48" s="166"/>
      <c r="F48" s="166"/>
      <c r="G48" s="190">
        <f t="shared" si="24"/>
        <v>0</v>
      </c>
      <c r="H48" s="167"/>
      <c r="I48" s="190">
        <f t="shared" si="25"/>
        <v>0</v>
      </c>
      <c r="J48" s="191"/>
      <c r="V48" s="163"/>
    </row>
    <row r="49" spans="1:25" s="74" customFormat="1" ht="20.25" customHeight="1" thickBot="1">
      <c r="A49" s="788"/>
      <c r="B49" s="193" t="s">
        <v>163</v>
      </c>
      <c r="C49" s="169"/>
      <c r="D49" s="165"/>
      <c r="E49" s="166"/>
      <c r="F49" s="166"/>
      <c r="G49" s="190">
        <f t="shared" si="24"/>
        <v>0</v>
      </c>
      <c r="H49" s="167"/>
      <c r="I49" s="190">
        <f t="shared" si="25"/>
        <v>0</v>
      </c>
      <c r="J49" s="191"/>
      <c r="V49" s="163"/>
    </row>
    <row r="50" spans="1:25" s="74" customFormat="1" ht="20.25" customHeight="1" thickBot="1">
      <c r="A50" s="788"/>
      <c r="B50" s="193" t="s">
        <v>163</v>
      </c>
      <c r="C50" s="169"/>
      <c r="D50" s="165"/>
      <c r="E50" s="166"/>
      <c r="F50" s="166"/>
      <c r="G50" s="190">
        <f t="shared" si="24"/>
        <v>0</v>
      </c>
      <c r="H50" s="167"/>
      <c r="I50" s="190">
        <f t="shared" si="25"/>
        <v>0</v>
      </c>
      <c r="J50" s="191"/>
      <c r="V50" s="163"/>
    </row>
    <row r="51" spans="1:25" s="74" customFormat="1" ht="20.25" customHeight="1" thickBot="1">
      <c r="A51" s="788"/>
      <c r="B51" s="193" t="s">
        <v>163</v>
      </c>
      <c r="C51" s="169"/>
      <c r="D51" s="165"/>
      <c r="E51" s="166"/>
      <c r="F51" s="166"/>
      <c r="G51" s="190">
        <f t="shared" si="20"/>
        <v>0</v>
      </c>
      <c r="H51" s="167"/>
      <c r="I51" s="190">
        <f t="shared" si="21"/>
        <v>0</v>
      </c>
      <c r="J51" s="191"/>
      <c r="V51" s="163"/>
      <c r="Y51" s="69"/>
    </row>
    <row r="52" spans="1:25" s="74" customFormat="1" ht="20.25" customHeight="1" thickBot="1">
      <c r="A52" s="788"/>
      <c r="B52" s="193" t="s">
        <v>163</v>
      </c>
      <c r="C52" s="169"/>
      <c r="D52" s="165"/>
      <c r="E52" s="166"/>
      <c r="F52" s="166"/>
      <c r="G52" s="190">
        <f t="shared" si="20"/>
        <v>0</v>
      </c>
      <c r="H52" s="167"/>
      <c r="I52" s="190">
        <f t="shared" si="21"/>
        <v>0</v>
      </c>
      <c r="J52" s="191"/>
      <c r="V52" s="163"/>
      <c r="Y52" s="69"/>
    </row>
    <row r="53" spans="1:25" s="74" customFormat="1" ht="20.25" customHeight="1" thickBot="1">
      <c r="A53" s="788"/>
      <c r="B53" s="193" t="s">
        <v>163</v>
      </c>
      <c r="C53" s="169"/>
      <c r="D53" s="165"/>
      <c r="E53" s="166"/>
      <c r="F53" s="166"/>
      <c r="G53" s="190">
        <f t="shared" si="20"/>
        <v>0</v>
      </c>
      <c r="H53" s="167"/>
      <c r="I53" s="190">
        <f t="shared" si="21"/>
        <v>0</v>
      </c>
      <c r="J53" s="191"/>
      <c r="V53" s="163"/>
      <c r="Y53" s="69"/>
    </row>
    <row r="54" spans="1:25" s="74" customFormat="1" ht="20.25" customHeight="1" thickBot="1">
      <c r="A54" s="788"/>
      <c r="B54" s="193" t="s">
        <v>163</v>
      </c>
      <c r="C54" s="171"/>
      <c r="D54" s="165"/>
      <c r="E54" s="166"/>
      <c r="F54" s="166"/>
      <c r="G54" s="190">
        <f t="shared" si="20"/>
        <v>0</v>
      </c>
      <c r="H54" s="167"/>
      <c r="I54" s="190">
        <f t="shared" si="21"/>
        <v>0</v>
      </c>
      <c r="J54" s="191"/>
      <c r="V54" s="163"/>
      <c r="Y54" s="69"/>
    </row>
    <row r="55" spans="1:25" s="74" customFormat="1" ht="20.25" customHeight="1" thickBot="1">
      <c r="A55" s="788"/>
      <c r="B55" s="193" t="s">
        <v>163</v>
      </c>
      <c r="C55" s="172"/>
      <c r="D55" s="165"/>
      <c r="E55" s="166"/>
      <c r="F55" s="166"/>
      <c r="G55" s="190">
        <f t="shared" si="20"/>
        <v>0</v>
      </c>
      <c r="H55" s="167"/>
      <c r="I55" s="190">
        <f t="shared" si="21"/>
        <v>0</v>
      </c>
      <c r="J55" s="191"/>
      <c r="Y55" s="69"/>
    </row>
    <row r="56" spans="1:25" s="74" customFormat="1" ht="20.25" customHeight="1" thickBot="1">
      <c r="A56" s="788"/>
      <c r="B56" s="193" t="s">
        <v>163</v>
      </c>
      <c r="C56" s="172"/>
      <c r="D56" s="165"/>
      <c r="E56" s="194"/>
      <c r="F56" s="194"/>
      <c r="G56" s="190">
        <f t="shared" si="20"/>
        <v>0</v>
      </c>
      <c r="H56" s="195"/>
      <c r="I56" s="190">
        <f t="shared" si="21"/>
        <v>0</v>
      </c>
      <c r="J56" s="191"/>
      <c r="Y56" s="69"/>
    </row>
    <row r="57" spans="1:25" s="74" customFormat="1" ht="20.25" customHeight="1" thickBot="1">
      <c r="A57" s="788"/>
      <c r="B57" s="196" t="s">
        <v>163</v>
      </c>
      <c r="C57" s="197"/>
      <c r="D57" s="173"/>
      <c r="E57" s="194"/>
      <c r="F57" s="194"/>
      <c r="G57" s="190">
        <f t="shared" si="20"/>
        <v>0</v>
      </c>
      <c r="H57" s="195"/>
      <c r="I57" s="190">
        <f t="shared" si="21"/>
        <v>0</v>
      </c>
      <c r="J57" s="191"/>
      <c r="Y57" s="69"/>
    </row>
    <row r="58" spans="1:25" s="74" customFormat="1" ht="14.4" thickBot="1">
      <c r="A58" s="794" t="s">
        <v>47</v>
      </c>
      <c r="B58" s="795"/>
      <c r="C58" s="795"/>
      <c r="D58" s="796"/>
      <c r="E58" s="141">
        <f>SUM(E33:E57)</f>
        <v>0</v>
      </c>
      <c r="F58" s="140"/>
      <c r="G58" s="198">
        <f>SUM(G33:G57)</f>
        <v>0</v>
      </c>
      <c r="H58" s="199"/>
      <c r="I58" s="174">
        <f>SUM(I33:I57)</f>
        <v>0</v>
      </c>
      <c r="Y58" s="69"/>
    </row>
    <row r="59" spans="1:25" s="69" customFormat="1"/>
    <row r="60" spans="1:25" s="69" customFormat="1"/>
    <row r="61" spans="1:25" s="69" customFormat="1" ht="14.4" thickBot="1"/>
    <row r="62" spans="1:25" s="69" customFormat="1" ht="14.4" thickBot="1">
      <c r="A62" s="789" t="s">
        <v>55</v>
      </c>
      <c r="B62" s="790"/>
      <c r="C62" s="790"/>
      <c r="D62" s="790"/>
      <c r="E62" s="790"/>
      <c r="F62" s="790"/>
      <c r="G62" s="790"/>
      <c r="H62" s="790"/>
      <c r="I62" s="791"/>
    </row>
    <row r="63" spans="1:25" s="69" customFormat="1" ht="20.25" customHeight="1" thickBot="1">
      <c r="A63" s="148"/>
      <c r="B63" s="184" t="s">
        <v>115</v>
      </c>
      <c r="C63" s="185" t="s">
        <v>19</v>
      </c>
      <c r="D63" s="185" t="s">
        <v>52</v>
      </c>
      <c r="E63" s="137" t="s">
        <v>53</v>
      </c>
      <c r="F63" s="137" t="s">
        <v>54</v>
      </c>
      <c r="G63" s="200" t="s">
        <v>93</v>
      </c>
      <c r="H63" s="186" t="s">
        <v>50</v>
      </c>
      <c r="I63" s="137" t="s">
        <v>0</v>
      </c>
    </row>
    <row r="64" spans="1:25" s="69" customFormat="1" ht="20.25" customHeight="1" thickBot="1">
      <c r="A64" s="788" t="s">
        <v>56</v>
      </c>
      <c r="B64" s="189" t="s">
        <v>163</v>
      </c>
      <c r="C64" s="201"/>
      <c r="D64" s="175"/>
      <c r="E64" s="160">
        <f>+'3.Nacim'!D20</f>
        <v>120</v>
      </c>
      <c r="F64" s="160">
        <v>195</v>
      </c>
      <c r="G64" s="162">
        <f t="shared" ref="G64:G88" si="26">F64*E64</f>
        <v>23400</v>
      </c>
      <c r="H64" s="89">
        <v>200</v>
      </c>
      <c r="I64" s="162">
        <f t="shared" ref="I64:I88" si="27">+G64*H64</f>
        <v>4680000</v>
      </c>
    </row>
    <row r="65" spans="1:9" s="69" customFormat="1" ht="20.25" customHeight="1" thickBot="1">
      <c r="A65" s="788"/>
      <c r="B65" s="189" t="s">
        <v>163</v>
      </c>
      <c r="C65" s="202"/>
      <c r="D65" s="176"/>
      <c r="E65" s="166"/>
      <c r="F65" s="166"/>
      <c r="G65" s="190">
        <f t="shared" ref="G65:G71" si="28">F65*E65</f>
        <v>0</v>
      </c>
      <c r="H65" s="89">
        <v>200</v>
      </c>
      <c r="I65" s="190">
        <f t="shared" ref="I65:I71" si="29">+G65*H65</f>
        <v>0</v>
      </c>
    </row>
    <row r="66" spans="1:9" s="69" customFormat="1" ht="20.25" customHeight="1" thickBot="1">
      <c r="A66" s="788"/>
      <c r="B66" s="189" t="s">
        <v>163</v>
      </c>
      <c r="C66" s="202"/>
      <c r="D66" s="176"/>
      <c r="E66" s="166"/>
      <c r="F66" s="166"/>
      <c r="G66" s="190">
        <f t="shared" si="28"/>
        <v>0</v>
      </c>
      <c r="H66" s="89">
        <v>200</v>
      </c>
      <c r="I66" s="190">
        <f t="shared" si="29"/>
        <v>0</v>
      </c>
    </row>
    <row r="67" spans="1:9" s="69" customFormat="1" ht="20.25" customHeight="1" thickBot="1">
      <c r="A67" s="788"/>
      <c r="B67" s="189" t="s">
        <v>163</v>
      </c>
      <c r="C67" s="202"/>
      <c r="D67" s="176"/>
      <c r="E67" s="166"/>
      <c r="F67" s="166"/>
      <c r="G67" s="190">
        <f t="shared" si="28"/>
        <v>0</v>
      </c>
      <c r="H67" s="89">
        <v>200</v>
      </c>
      <c r="I67" s="190">
        <f t="shared" si="29"/>
        <v>0</v>
      </c>
    </row>
    <row r="68" spans="1:9" s="69" customFormat="1" ht="20.25" customHeight="1" thickBot="1">
      <c r="A68" s="788"/>
      <c r="B68" s="189" t="s">
        <v>163</v>
      </c>
      <c r="C68" s="202"/>
      <c r="D68" s="176"/>
      <c r="E68" s="166"/>
      <c r="F68" s="166"/>
      <c r="G68" s="190">
        <f t="shared" si="28"/>
        <v>0</v>
      </c>
      <c r="H68" s="89">
        <v>200</v>
      </c>
      <c r="I68" s="190">
        <f t="shared" si="29"/>
        <v>0</v>
      </c>
    </row>
    <row r="69" spans="1:9" s="69" customFormat="1" ht="20.25" customHeight="1" thickBot="1">
      <c r="A69" s="788"/>
      <c r="B69" s="189" t="s">
        <v>163</v>
      </c>
      <c r="C69" s="202"/>
      <c r="D69" s="176"/>
      <c r="E69" s="166"/>
      <c r="F69" s="166"/>
      <c r="G69" s="190">
        <f t="shared" si="28"/>
        <v>0</v>
      </c>
      <c r="H69" s="89">
        <v>200</v>
      </c>
      <c r="I69" s="190">
        <f t="shared" si="29"/>
        <v>0</v>
      </c>
    </row>
    <row r="70" spans="1:9" s="69" customFormat="1" ht="20.25" customHeight="1" thickBot="1">
      <c r="A70" s="788"/>
      <c r="B70" s="189" t="s">
        <v>163</v>
      </c>
      <c r="C70" s="202"/>
      <c r="D70" s="176"/>
      <c r="E70" s="166"/>
      <c r="F70" s="166"/>
      <c r="G70" s="190">
        <f t="shared" si="28"/>
        <v>0</v>
      </c>
      <c r="H70" s="89">
        <v>200</v>
      </c>
      <c r="I70" s="190">
        <f t="shared" si="29"/>
        <v>0</v>
      </c>
    </row>
    <row r="71" spans="1:9" s="69" customFormat="1" ht="20.25" customHeight="1" thickBot="1">
      <c r="A71" s="788"/>
      <c r="B71" s="189" t="s">
        <v>163</v>
      </c>
      <c r="C71" s="202"/>
      <c r="D71" s="176"/>
      <c r="E71" s="166"/>
      <c r="F71" s="166"/>
      <c r="G71" s="190">
        <f t="shared" si="28"/>
        <v>0</v>
      </c>
      <c r="H71" s="89">
        <v>200</v>
      </c>
      <c r="I71" s="190">
        <f t="shared" si="29"/>
        <v>0</v>
      </c>
    </row>
    <row r="72" spans="1:9" s="69" customFormat="1" ht="20.25" customHeight="1" thickBot="1">
      <c r="A72" s="788"/>
      <c r="B72" s="189" t="s">
        <v>163</v>
      </c>
      <c r="C72" s="202"/>
      <c r="D72" s="176"/>
      <c r="E72" s="166"/>
      <c r="F72" s="166"/>
      <c r="G72" s="190">
        <f t="shared" si="26"/>
        <v>0</v>
      </c>
      <c r="H72" s="89">
        <v>200</v>
      </c>
      <c r="I72" s="190">
        <f t="shared" si="27"/>
        <v>0</v>
      </c>
    </row>
    <row r="73" spans="1:9" s="69" customFormat="1" ht="20.25" customHeight="1" thickBot="1">
      <c r="A73" s="788"/>
      <c r="B73" s="189" t="s">
        <v>163</v>
      </c>
      <c r="C73" s="202"/>
      <c r="D73" s="176"/>
      <c r="E73" s="166"/>
      <c r="F73" s="166"/>
      <c r="G73" s="190">
        <f t="shared" si="26"/>
        <v>0</v>
      </c>
      <c r="H73" s="89">
        <v>200</v>
      </c>
      <c r="I73" s="190">
        <f t="shared" si="27"/>
        <v>0</v>
      </c>
    </row>
    <row r="74" spans="1:9" s="69" customFormat="1" ht="20.25" customHeight="1" thickBot="1">
      <c r="A74" s="788"/>
      <c r="B74" s="189" t="s">
        <v>163</v>
      </c>
      <c r="C74" s="203"/>
      <c r="D74" s="176"/>
      <c r="E74" s="166"/>
      <c r="F74" s="166"/>
      <c r="G74" s="190">
        <f t="shared" si="26"/>
        <v>0</v>
      </c>
      <c r="H74" s="89">
        <v>200</v>
      </c>
      <c r="I74" s="190">
        <f t="shared" si="27"/>
        <v>0</v>
      </c>
    </row>
    <row r="75" spans="1:9" s="69" customFormat="1" ht="20.25" customHeight="1" thickBot="1">
      <c r="A75" s="793"/>
      <c r="B75" s="189" t="s">
        <v>163</v>
      </c>
      <c r="C75" s="203"/>
      <c r="D75" s="176"/>
      <c r="E75" s="166"/>
      <c r="F75" s="166"/>
      <c r="G75" s="190">
        <f t="shared" si="26"/>
        <v>0</v>
      </c>
      <c r="H75" s="89">
        <v>200</v>
      </c>
      <c r="I75" s="190">
        <f t="shared" si="27"/>
        <v>0</v>
      </c>
    </row>
    <row r="76" spans="1:9" s="69" customFormat="1" ht="20.25" customHeight="1" thickBot="1">
      <c r="A76" s="788" t="s">
        <v>57</v>
      </c>
      <c r="B76" s="189" t="s">
        <v>163</v>
      </c>
      <c r="C76" s="204"/>
      <c r="D76" s="175"/>
      <c r="E76" s="160">
        <f>+'3.Nacim'!E20-J7</f>
        <v>57</v>
      </c>
      <c r="F76" s="160">
        <v>175</v>
      </c>
      <c r="G76" s="162">
        <f t="shared" si="26"/>
        <v>9975</v>
      </c>
      <c r="H76" s="89">
        <v>200</v>
      </c>
      <c r="I76" s="162">
        <f t="shared" si="27"/>
        <v>1995000</v>
      </c>
    </row>
    <row r="77" spans="1:9" s="69" customFormat="1" ht="20.25" customHeight="1" thickBot="1">
      <c r="A77" s="788"/>
      <c r="B77" s="189" t="s">
        <v>163</v>
      </c>
      <c r="C77" s="205"/>
      <c r="D77" s="176"/>
      <c r="E77" s="166"/>
      <c r="F77" s="166"/>
      <c r="G77" s="190">
        <f t="shared" si="26"/>
        <v>0</v>
      </c>
      <c r="H77" s="89">
        <v>200</v>
      </c>
      <c r="I77" s="190">
        <f t="shared" si="27"/>
        <v>0</v>
      </c>
    </row>
    <row r="78" spans="1:9" s="69" customFormat="1" ht="20.25" customHeight="1" thickBot="1">
      <c r="A78" s="788"/>
      <c r="B78" s="193" t="s">
        <v>163</v>
      </c>
      <c r="C78" s="205"/>
      <c r="D78" s="176"/>
      <c r="E78" s="166"/>
      <c r="F78" s="166"/>
      <c r="G78" s="190">
        <f t="shared" si="26"/>
        <v>0</v>
      </c>
      <c r="H78" s="89">
        <v>200</v>
      </c>
      <c r="I78" s="190">
        <f t="shared" si="27"/>
        <v>0</v>
      </c>
    </row>
    <row r="79" spans="1:9" s="69" customFormat="1" ht="20.25" customHeight="1" thickBot="1">
      <c r="A79" s="788"/>
      <c r="B79" s="193" t="s">
        <v>163</v>
      </c>
      <c r="C79" s="205"/>
      <c r="D79" s="176"/>
      <c r="E79" s="166"/>
      <c r="F79" s="166"/>
      <c r="G79" s="190">
        <f t="shared" ref="G79:G82" si="30">F79*E79</f>
        <v>0</v>
      </c>
      <c r="H79" s="89">
        <v>200</v>
      </c>
      <c r="I79" s="190">
        <f t="shared" ref="I79:I82" si="31">+G79*H79</f>
        <v>0</v>
      </c>
    </row>
    <row r="80" spans="1:9" s="69" customFormat="1" ht="20.25" customHeight="1" thickBot="1">
      <c r="A80" s="788"/>
      <c r="B80" s="193" t="s">
        <v>163</v>
      </c>
      <c r="C80" s="205"/>
      <c r="D80" s="176"/>
      <c r="E80" s="166"/>
      <c r="F80" s="166"/>
      <c r="G80" s="190">
        <f t="shared" si="30"/>
        <v>0</v>
      </c>
      <c r="H80" s="89">
        <v>200</v>
      </c>
      <c r="I80" s="190">
        <f t="shared" si="31"/>
        <v>0</v>
      </c>
    </row>
    <row r="81" spans="1:9" s="69" customFormat="1" ht="20.25" customHeight="1" thickBot="1">
      <c r="A81" s="788"/>
      <c r="B81" s="193" t="s">
        <v>163</v>
      </c>
      <c r="C81" s="205"/>
      <c r="D81" s="176"/>
      <c r="E81" s="166"/>
      <c r="F81" s="166"/>
      <c r="G81" s="190">
        <f t="shared" si="30"/>
        <v>0</v>
      </c>
      <c r="H81" s="89">
        <v>200</v>
      </c>
      <c r="I81" s="190">
        <f t="shared" si="31"/>
        <v>0</v>
      </c>
    </row>
    <row r="82" spans="1:9" s="69" customFormat="1" ht="20.25" customHeight="1" thickBot="1">
      <c r="A82" s="788"/>
      <c r="B82" s="193" t="s">
        <v>163</v>
      </c>
      <c r="C82" s="205"/>
      <c r="D82" s="176"/>
      <c r="E82" s="166"/>
      <c r="F82" s="166"/>
      <c r="G82" s="190">
        <f t="shared" si="30"/>
        <v>0</v>
      </c>
      <c r="H82" s="89">
        <v>200</v>
      </c>
      <c r="I82" s="190">
        <f t="shared" si="31"/>
        <v>0</v>
      </c>
    </row>
    <row r="83" spans="1:9" s="69" customFormat="1" ht="20.25" customHeight="1" thickBot="1">
      <c r="A83" s="788"/>
      <c r="B83" s="193" t="s">
        <v>163</v>
      </c>
      <c r="C83" s="205"/>
      <c r="D83" s="176"/>
      <c r="E83" s="166"/>
      <c r="F83" s="166"/>
      <c r="G83" s="190">
        <f t="shared" si="26"/>
        <v>0</v>
      </c>
      <c r="H83" s="89">
        <v>200</v>
      </c>
      <c r="I83" s="190">
        <f t="shared" si="27"/>
        <v>0</v>
      </c>
    </row>
    <row r="84" spans="1:9" s="69" customFormat="1" ht="20.25" customHeight="1" thickBot="1">
      <c r="A84" s="788"/>
      <c r="B84" s="193" t="s">
        <v>163</v>
      </c>
      <c r="C84" s="205"/>
      <c r="D84" s="176"/>
      <c r="E84" s="166"/>
      <c r="F84" s="166"/>
      <c r="G84" s="190">
        <f t="shared" si="26"/>
        <v>0</v>
      </c>
      <c r="H84" s="89">
        <v>200</v>
      </c>
      <c r="I84" s="190">
        <f t="shared" si="27"/>
        <v>0</v>
      </c>
    </row>
    <row r="85" spans="1:9" s="69" customFormat="1" ht="20.25" customHeight="1" thickBot="1">
      <c r="A85" s="788"/>
      <c r="B85" s="193" t="s">
        <v>163</v>
      </c>
      <c r="C85" s="206"/>
      <c r="D85" s="176"/>
      <c r="E85" s="166"/>
      <c r="F85" s="166"/>
      <c r="G85" s="190">
        <f t="shared" si="26"/>
        <v>0</v>
      </c>
      <c r="H85" s="89">
        <v>200</v>
      </c>
      <c r="I85" s="190">
        <f t="shared" si="27"/>
        <v>0</v>
      </c>
    </row>
    <row r="86" spans="1:9" s="69" customFormat="1" ht="20.25" customHeight="1" thickBot="1">
      <c r="A86" s="788"/>
      <c r="B86" s="193" t="s">
        <v>163</v>
      </c>
      <c r="C86" s="203"/>
      <c r="D86" s="176"/>
      <c r="E86" s="166"/>
      <c r="F86" s="166"/>
      <c r="G86" s="190">
        <f t="shared" si="26"/>
        <v>0</v>
      </c>
      <c r="H86" s="89">
        <v>200</v>
      </c>
      <c r="I86" s="190">
        <f t="shared" si="27"/>
        <v>0</v>
      </c>
    </row>
    <row r="87" spans="1:9" s="69" customFormat="1" ht="20.25" customHeight="1" thickBot="1">
      <c r="A87" s="788"/>
      <c r="B87" s="193" t="s">
        <v>163</v>
      </c>
      <c r="C87" s="203"/>
      <c r="D87" s="176"/>
      <c r="E87" s="194"/>
      <c r="F87" s="194"/>
      <c r="G87" s="190">
        <f t="shared" si="26"/>
        <v>0</v>
      </c>
      <c r="H87" s="89">
        <v>200</v>
      </c>
      <c r="I87" s="190">
        <f t="shared" si="27"/>
        <v>0</v>
      </c>
    </row>
    <row r="88" spans="1:9" s="69" customFormat="1" ht="14.4" thickBot="1">
      <c r="A88" s="788"/>
      <c r="B88" s="196" t="s">
        <v>163</v>
      </c>
      <c r="C88" s="207"/>
      <c r="D88" s="176"/>
      <c r="E88" s="194"/>
      <c r="F88" s="194"/>
      <c r="G88" s="190">
        <f t="shared" si="26"/>
        <v>0</v>
      </c>
      <c r="H88" s="89">
        <v>200</v>
      </c>
      <c r="I88" s="190">
        <f t="shared" si="27"/>
        <v>0</v>
      </c>
    </row>
    <row r="89" spans="1:9" s="69" customFormat="1" ht="14.4" thickBot="1">
      <c r="A89" s="785" t="s">
        <v>47</v>
      </c>
      <c r="B89" s="786"/>
      <c r="C89" s="787"/>
      <c r="D89" s="140"/>
      <c r="E89" s="138">
        <f>SUM(E64:E88)</f>
        <v>177</v>
      </c>
      <c r="F89" s="208"/>
      <c r="G89" s="138">
        <f>SUM(G64:G88)</f>
        <v>33375</v>
      </c>
      <c r="H89" s="208"/>
      <c r="I89" s="209">
        <f>SUM(I64:I88)</f>
        <v>6675000</v>
      </c>
    </row>
    <row r="90" spans="1:9" s="69" customFormat="1"/>
    <row r="91" spans="1:9" s="69" customFormat="1"/>
    <row r="92" spans="1:9" s="69" customFormat="1"/>
    <row r="93" spans="1:9" s="69" customFormat="1"/>
    <row r="94" spans="1:9" s="69" customFormat="1"/>
    <row r="95" spans="1:9" s="69" customFormat="1"/>
    <row r="96" spans="1:9" s="69" customFormat="1"/>
    <row r="97" s="69" customFormat="1"/>
    <row r="98" s="69" customFormat="1"/>
    <row r="99" s="69" customFormat="1"/>
    <row r="100" s="69" customFormat="1"/>
    <row r="101" s="69" customFormat="1"/>
    <row r="102" s="69" customFormat="1"/>
    <row r="103" s="69" customFormat="1"/>
    <row r="104" s="69" customFormat="1"/>
    <row r="105" s="69" customFormat="1"/>
    <row r="106" s="69" customFormat="1"/>
    <row r="107" s="69" customFormat="1"/>
    <row r="108" s="69" customFormat="1"/>
    <row r="109" s="69" customFormat="1"/>
    <row r="110" s="69" customFormat="1"/>
    <row r="111" s="69" customFormat="1"/>
    <row r="112" s="69" customFormat="1"/>
    <row r="113" s="69" customFormat="1"/>
    <row r="114" s="69" customFormat="1"/>
    <row r="115" s="69" customFormat="1"/>
    <row r="116" s="69" customFormat="1"/>
    <row r="117" s="69" customFormat="1"/>
    <row r="118" s="69" customFormat="1"/>
    <row r="119" s="69" customFormat="1"/>
    <row r="120" s="69" customFormat="1"/>
    <row r="121" s="69" customFormat="1"/>
    <row r="122" s="69" customFormat="1"/>
    <row r="123" s="69" customFormat="1"/>
    <row r="124" s="69" customFormat="1"/>
    <row r="125" s="69" customFormat="1"/>
    <row r="126" s="69" customFormat="1"/>
    <row r="127" s="69" customFormat="1"/>
    <row r="128" s="69" customFormat="1"/>
    <row r="129" s="69" customFormat="1"/>
    <row r="130" s="69" customFormat="1"/>
    <row r="131" s="69" customFormat="1"/>
    <row r="132" s="69" customFormat="1"/>
    <row r="133" s="69" customFormat="1"/>
    <row r="134" s="69" customFormat="1"/>
    <row r="135" s="69" customFormat="1"/>
    <row r="136" s="69" customFormat="1"/>
    <row r="137" s="69" customFormat="1"/>
    <row r="138" s="69" customFormat="1"/>
    <row r="139" s="69" customFormat="1"/>
    <row r="140" s="69" customFormat="1"/>
    <row r="141" s="69" customFormat="1"/>
    <row r="142" s="69" customFormat="1"/>
    <row r="143" s="69" customFormat="1"/>
    <row r="144" s="69" customFormat="1"/>
    <row r="145" s="69" customFormat="1"/>
    <row r="146" s="69" customFormat="1"/>
    <row r="147" s="69" customFormat="1"/>
    <row r="148" s="69" customFormat="1"/>
    <row r="149" s="69" customFormat="1"/>
    <row r="150" s="69" customFormat="1"/>
    <row r="151" s="69" customFormat="1"/>
    <row r="152" s="69" customFormat="1"/>
    <row r="153" s="69" customFormat="1"/>
    <row r="154" s="69" customFormat="1"/>
    <row r="155" s="69" customFormat="1"/>
    <row r="156" s="69" customFormat="1"/>
    <row r="157" s="69" customFormat="1"/>
    <row r="158" s="69" customFormat="1"/>
    <row r="159" s="69" customFormat="1"/>
    <row r="160" s="69" customFormat="1"/>
    <row r="161" s="69" customFormat="1"/>
    <row r="162" s="69" customFormat="1"/>
    <row r="163" s="69" customFormat="1"/>
    <row r="164" s="69" customFormat="1"/>
    <row r="165" s="69" customFormat="1"/>
    <row r="166" s="69" customFormat="1"/>
    <row r="167" s="69" customFormat="1"/>
    <row r="168" s="69" customFormat="1"/>
    <row r="169" s="69" customFormat="1"/>
    <row r="170" s="69" customFormat="1"/>
    <row r="171" s="69" customFormat="1"/>
    <row r="172" s="69" customFormat="1"/>
    <row r="173" s="69" customFormat="1"/>
    <row r="174" s="69" customFormat="1"/>
    <row r="175" s="69" customFormat="1"/>
    <row r="176" s="69" customFormat="1"/>
    <row r="177" s="69" customFormat="1"/>
    <row r="178" s="69" customFormat="1"/>
    <row r="179" s="69" customFormat="1"/>
    <row r="180" s="69" customFormat="1"/>
    <row r="181" s="69" customFormat="1"/>
    <row r="182" s="69" customFormat="1"/>
    <row r="183" s="69" customFormat="1"/>
    <row r="184" s="69" customFormat="1"/>
    <row r="185" s="69" customFormat="1"/>
    <row r="186" s="69" customFormat="1"/>
    <row r="187" s="69" customFormat="1"/>
    <row r="188" s="69" customFormat="1"/>
    <row r="189" s="69" customFormat="1"/>
    <row r="190" s="69" customFormat="1"/>
    <row r="191" s="69" customFormat="1"/>
    <row r="192" s="69" customFormat="1"/>
    <row r="193" spans="25:25" s="69" customFormat="1"/>
    <row r="194" spans="25:25" s="69" customFormat="1">
      <c r="Y194" s="71"/>
    </row>
    <row r="195" spans="25:25" s="69" customFormat="1">
      <c r="Y195" s="71"/>
    </row>
    <row r="196" spans="25:25" s="69" customFormat="1">
      <c r="Y196" s="71"/>
    </row>
    <row r="197" spans="25:25" s="69" customFormat="1">
      <c r="Y197" s="71"/>
    </row>
    <row r="198" spans="25:25" s="69" customFormat="1">
      <c r="Y198" s="71"/>
    </row>
    <row r="199" spans="25:25" s="69" customFormat="1">
      <c r="Y199" s="71"/>
    </row>
    <row r="200" spans="25:25" s="69" customFormat="1">
      <c r="Y200" s="71"/>
    </row>
    <row r="201" spans="25:25" s="69" customFormat="1">
      <c r="Y201" s="71"/>
    </row>
  </sheetData>
  <mergeCells count="23">
    <mergeCell ref="AI3:AK3"/>
    <mergeCell ref="AR3:AT3"/>
    <mergeCell ref="R3:U3"/>
    <mergeCell ref="P3:Q3"/>
    <mergeCell ref="V3:AB3"/>
    <mergeCell ref="N3:N4"/>
    <mergeCell ref="B2:I2"/>
    <mergeCell ref="J2:Q2"/>
    <mergeCell ref="A33:A44"/>
    <mergeCell ref="C1:K1"/>
    <mergeCell ref="E3:E4"/>
    <mergeCell ref="M3:M4"/>
    <mergeCell ref="B3:D3"/>
    <mergeCell ref="F3:F4"/>
    <mergeCell ref="H3:I3"/>
    <mergeCell ref="J3:L3"/>
    <mergeCell ref="A89:C89"/>
    <mergeCell ref="A76:A88"/>
    <mergeCell ref="A62:I62"/>
    <mergeCell ref="A45:A57"/>
    <mergeCell ref="A31:H31"/>
    <mergeCell ref="A64:A75"/>
    <mergeCell ref="A58:D58"/>
  </mergeCells>
  <dataValidations count="6">
    <dataValidation type="list" allowBlank="1" showInputMessage="1" showErrorMessage="1" sqref="WLT33:WLT57 WVP33:WVP57 JD33:JD57 SZ33:SZ57 ACV33:ACV57 AMR33:AMR57 AWN33:AWN57 BGJ33:BGJ57 BQF33:BQF57 CAB33:CAB57 CJX33:CJX57 CTT33:CTT57 DDP33:DDP57 DNL33:DNL57 DXH33:DXH57 EHD33:EHD57 EQZ33:EQZ57 FAV33:FAV57 FKR33:FKR57 FUN33:FUN57 GEJ33:GEJ57 GOF33:GOF57 GYB33:GYB57 HHX33:HHX57 HRT33:HRT57 IBP33:IBP57 ILL33:ILL57 IVH33:IVH57 JFD33:JFD57 JOZ33:JOZ57 JYV33:JYV57 KIR33:KIR57 KSN33:KSN57 LCJ33:LCJ57 LMF33:LMF57 LWB33:LWB57 MFX33:MFX57 MPT33:MPT57 MZP33:MZP57 NJL33:NJL57 NTH33:NTH57 ODD33:ODD57 OMZ33:OMZ57 OWV33:OWV57 PGR33:PGR57 PQN33:PQN57 QAJ33:QAJ57 QKF33:QKF57 QUB33:QUB57 RDX33:RDX57 RNT33:RNT57 RXP33:RXP57 SHL33:SHL57 SRH33:SRH57 TBD33:TBD57 TKZ33:TKZ57 TUV33:TUV57 UER33:UER57 UON33:UON57 UYJ33:UYJ57 VIF33:VIF57 VSB33:VSB57 WBX33:WBX57">
      <formula1>#REF!</formula1>
    </dataValidation>
    <dataValidation type="list" allowBlank="1" showInputMessage="1" showErrorMessage="1" sqref="D64:D88">
      <formula1>$W$30:$W$33</formula1>
    </dataValidation>
    <dataValidation type="list" allowBlank="1" showInputMessage="1" showErrorMessage="1" sqref="D33:D57">
      <formula1>$X$30:$X$32</formula1>
    </dataValidation>
    <dataValidation type="list" allowBlank="1" showInputMessage="1" showErrorMessage="1" promptTitle="SELECCIONAR SEXO" prompt="En el caso de las hembras indicar si es de invernada o de cría_x000a_" sqref="V5:V22">
      <formula1>$AV$1:$AV$3</formula1>
    </dataValidation>
    <dataValidation type="list" allowBlank="1" showInputMessage="1" showErrorMessage="1" sqref="B33:B57 B64:B88">
      <formula1>$Y$29:$Y$43</formula1>
    </dataValidation>
    <dataValidation type="list" allowBlank="1" showInputMessage="1" showErrorMessage="1" sqref="A5:A21">
      <formula1>$Y$29:$Y$46</formula1>
    </dataValidation>
  </dataValidations>
  <pageMargins left="0.25" right="0.25" top="0.75" bottom="0.75" header="0.3" footer="0.3"/>
  <pageSetup paperSize="9" scale="1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zoomScale="80" zoomScaleNormal="80" workbookViewId="0">
      <selection activeCell="E8" sqref="E8"/>
    </sheetView>
  </sheetViews>
  <sheetFormatPr baseColWidth="10" defaultColWidth="11.44140625" defaultRowHeight="13.8"/>
  <cols>
    <col min="1" max="1" width="11.44140625" style="69"/>
    <col min="2" max="2" width="20.33203125" style="69" customWidth="1"/>
    <col min="3" max="3" width="14.5546875" style="69" customWidth="1"/>
    <col min="4" max="4" width="14.6640625" style="69" customWidth="1"/>
    <col min="5" max="5" width="15.109375" style="69" customWidth="1"/>
    <col min="6" max="7" width="11.44140625" style="69"/>
    <col min="8" max="8" width="15.6640625" style="69" bestFit="1" customWidth="1"/>
    <col min="9" max="10" width="11.44140625" style="69"/>
    <col min="11" max="11" width="12.6640625" style="69" customWidth="1"/>
    <col min="12" max="16384" width="11.44140625" style="69"/>
  </cols>
  <sheetData>
    <row r="1" spans="2:5" ht="14.4" thickBot="1">
      <c r="B1" s="332"/>
      <c r="C1" s="333"/>
      <c r="D1" s="333"/>
      <c r="E1" s="332"/>
    </row>
    <row r="2" spans="2:5" ht="14.4" thickBot="1">
      <c r="B2" s="332"/>
      <c r="C2" s="819" t="s">
        <v>70</v>
      </c>
      <c r="D2" s="820"/>
      <c r="E2" s="821"/>
    </row>
    <row r="3" spans="2:5" ht="14.4" thickBot="1">
      <c r="B3" s="334"/>
      <c r="C3" s="335" t="s">
        <v>56</v>
      </c>
      <c r="D3" s="336" t="s">
        <v>57</v>
      </c>
      <c r="E3" s="337" t="s">
        <v>47</v>
      </c>
    </row>
    <row r="4" spans="2:5" ht="14.4" thickBot="1">
      <c r="B4" s="338" t="s">
        <v>58</v>
      </c>
      <c r="C4" s="339"/>
      <c r="D4" s="339"/>
      <c r="E4" s="340">
        <f t="shared" ref="E4:E16" si="0">SUM(C4:D4)</f>
        <v>0</v>
      </c>
    </row>
    <row r="5" spans="2:5" ht="14.4" thickBot="1">
      <c r="B5" s="338" t="s">
        <v>59</v>
      </c>
      <c r="C5" s="339"/>
      <c r="D5" s="341"/>
      <c r="E5" s="260">
        <f t="shared" si="0"/>
        <v>0</v>
      </c>
    </row>
    <row r="6" spans="2:5" ht="14.4" thickBot="1">
      <c r="B6" s="338" t="s">
        <v>60</v>
      </c>
      <c r="C6" s="339"/>
      <c r="D6" s="341"/>
      <c r="E6" s="260">
        <f t="shared" si="0"/>
        <v>0</v>
      </c>
    </row>
    <row r="7" spans="2:5" ht="14.4" thickBot="1">
      <c r="B7" s="338" t="s">
        <v>61</v>
      </c>
      <c r="C7" s="339"/>
      <c r="D7" s="341"/>
      <c r="E7" s="260">
        <f t="shared" si="0"/>
        <v>0</v>
      </c>
    </row>
    <row r="8" spans="2:5" ht="14.4" thickBot="1">
      <c r="B8" s="338" t="s">
        <v>62</v>
      </c>
      <c r="C8" s="339">
        <v>120</v>
      </c>
      <c r="D8" s="341">
        <f>122</f>
        <v>122</v>
      </c>
      <c r="E8" s="260">
        <f t="shared" si="0"/>
        <v>242</v>
      </c>
    </row>
    <row r="9" spans="2:5" ht="14.4" thickBot="1">
      <c r="B9" s="338" t="s">
        <v>63</v>
      </c>
      <c r="C9" s="339"/>
      <c r="D9" s="341"/>
      <c r="E9" s="260">
        <f t="shared" si="0"/>
        <v>0</v>
      </c>
    </row>
    <row r="10" spans="2:5" ht="14.4" thickBot="1">
      <c r="B10" s="338" t="s">
        <v>64</v>
      </c>
      <c r="C10" s="339"/>
      <c r="D10" s="341"/>
      <c r="E10" s="260">
        <f t="shared" si="0"/>
        <v>0</v>
      </c>
    </row>
    <row r="11" spans="2:5" ht="14.4" thickBot="1">
      <c r="B11" s="338" t="s">
        <v>65</v>
      </c>
      <c r="C11" s="339"/>
      <c r="D11" s="341"/>
      <c r="E11" s="260">
        <f t="shared" si="0"/>
        <v>0</v>
      </c>
    </row>
    <row r="12" spans="2:5" ht="14.4" thickBot="1">
      <c r="B12" s="338" t="s">
        <v>66</v>
      </c>
      <c r="C12" s="339"/>
      <c r="D12" s="341"/>
      <c r="E12" s="260">
        <f t="shared" si="0"/>
        <v>0</v>
      </c>
    </row>
    <row r="13" spans="2:5" ht="14.4" thickBot="1">
      <c r="B13" s="338" t="s">
        <v>67</v>
      </c>
      <c r="C13" s="339"/>
      <c r="D13" s="341"/>
      <c r="E13" s="260">
        <f t="shared" si="0"/>
        <v>0</v>
      </c>
    </row>
    <row r="14" spans="2:5" ht="14.4" thickBot="1">
      <c r="B14" s="338" t="s">
        <v>68</v>
      </c>
      <c r="C14" s="339"/>
      <c r="D14" s="341"/>
      <c r="E14" s="340">
        <f t="shared" si="0"/>
        <v>0</v>
      </c>
    </row>
    <row r="15" spans="2:5" ht="14.4" thickBot="1">
      <c r="B15" s="338" t="s">
        <v>69</v>
      </c>
      <c r="C15" s="339"/>
      <c r="D15" s="341"/>
      <c r="E15" s="260">
        <f t="shared" si="0"/>
        <v>0</v>
      </c>
    </row>
    <row r="16" spans="2:5" ht="14.4" thickBot="1">
      <c r="B16" s="342" t="s">
        <v>170</v>
      </c>
      <c r="C16" s="343">
        <f>SUM(C4:C15)</f>
        <v>120</v>
      </c>
      <c r="D16" s="344">
        <f>SUM(D4:D15)</f>
        <v>122</v>
      </c>
      <c r="E16" s="345">
        <f t="shared" si="0"/>
        <v>242</v>
      </c>
    </row>
    <row r="17" spans="2:11" ht="14.4" thickBot="1"/>
    <row r="18" spans="2:11" ht="14.4" thickBot="1">
      <c r="B18" s="816" t="s">
        <v>94</v>
      </c>
      <c r="C18" s="817"/>
      <c r="D18" s="817"/>
      <c r="E18" s="817"/>
      <c r="F18" s="818"/>
      <c r="H18" s="813" t="s">
        <v>178</v>
      </c>
      <c r="I18" s="814"/>
      <c r="J18" s="814"/>
      <c r="K18" s="815"/>
    </row>
    <row r="19" spans="2:11" ht="14.4" thickBot="1">
      <c r="D19" s="346" t="s">
        <v>56</v>
      </c>
      <c r="E19" s="347" t="s">
        <v>57</v>
      </c>
      <c r="F19" s="347" t="s">
        <v>85</v>
      </c>
      <c r="H19" s="348"/>
      <c r="I19" s="349"/>
      <c r="J19" s="349"/>
      <c r="K19" s="350" t="s">
        <v>179</v>
      </c>
    </row>
    <row r="20" spans="2:11" ht="14.4" thickBot="1">
      <c r="D20" s="351">
        <f>+C16</f>
        <v>120</v>
      </c>
      <c r="E20" s="352">
        <f>+D16</f>
        <v>122</v>
      </c>
      <c r="F20" s="352">
        <f>SUM(D20:E20)</f>
        <v>242</v>
      </c>
      <c r="H20" s="358" t="s">
        <v>70</v>
      </c>
      <c r="I20" s="359">
        <f>+E20</f>
        <v>122</v>
      </c>
      <c r="J20" s="353"/>
      <c r="K20" s="354">
        <f>+I23</f>
        <v>50</v>
      </c>
    </row>
    <row r="21" spans="2:11">
      <c r="C21" s="355"/>
      <c r="D21" s="355"/>
      <c r="H21" s="358" t="s">
        <v>71</v>
      </c>
      <c r="I21" s="359">
        <v>0</v>
      </c>
      <c r="J21" s="353"/>
      <c r="K21" s="356"/>
    </row>
    <row r="22" spans="2:11">
      <c r="C22" s="355"/>
      <c r="D22" s="355"/>
      <c r="H22" s="358" t="s">
        <v>224</v>
      </c>
      <c r="I22" s="359">
        <v>72</v>
      </c>
      <c r="J22" s="353"/>
      <c r="K22" s="356"/>
    </row>
    <row r="23" spans="2:11" ht="14.4" thickBot="1">
      <c r="H23" s="360" t="s">
        <v>225</v>
      </c>
      <c r="I23" s="361">
        <f>+I20-I21-I22</f>
        <v>50</v>
      </c>
      <c r="J23" s="362" t="s">
        <v>116</v>
      </c>
      <c r="K23" s="357">
        <f>+I23-'6.Procreo'!C7</f>
        <v>0</v>
      </c>
    </row>
    <row r="27" spans="2:11">
      <c r="I27" s="69" t="s">
        <v>200</v>
      </c>
    </row>
  </sheetData>
  <sheetProtection algorithmName="SHA-512" hashValue="pkn5oSje2FjXnYpZVwTWL3xcE97d2NduKEn+QbGb7IGO8Z3oAl9LgX4pJHTFzSQUYndEj+cd6Gfs38yIzKKHtA==" saltValue="VQfIm113nGUZgdJGO2n9rA==" spinCount="100000" sheet="1" objects="1" scenarios="1"/>
  <mergeCells count="3">
    <mergeCell ref="H18:K18"/>
    <mergeCell ref="B18:F18"/>
    <mergeCell ref="C2:E2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zoomScale="85" zoomScaleNormal="85" workbookViewId="0">
      <selection activeCell="J23" sqref="J23"/>
    </sheetView>
  </sheetViews>
  <sheetFormatPr baseColWidth="10" defaultColWidth="11.44140625" defaultRowHeight="13.8"/>
  <cols>
    <col min="1" max="1" width="11.44140625" style="306"/>
    <col min="2" max="4" width="13.33203125" style="306" bestFit="1" customWidth="1"/>
    <col min="5" max="5" width="12.6640625" style="306" customWidth="1"/>
    <col min="6" max="15" width="11.44140625" style="306"/>
    <col min="16" max="16" width="25.6640625" style="306" hidden="1" customWidth="1"/>
    <col min="17" max="16384" width="11.44140625" style="306"/>
  </cols>
  <sheetData>
    <row r="1" spans="1:16" ht="14.4" thickBot="1"/>
    <row r="2" spans="1:16" ht="14.4" thickBot="1">
      <c r="E2" s="822" t="s">
        <v>71</v>
      </c>
      <c r="F2" s="823"/>
      <c r="G2" s="823"/>
      <c r="H2" s="823"/>
      <c r="I2" s="824"/>
      <c r="P2" s="155" t="s">
        <v>163</v>
      </c>
    </row>
    <row r="3" spans="1:16" ht="14.4" thickBot="1">
      <c r="P3" s="157" t="s">
        <v>1</v>
      </c>
    </row>
    <row r="4" spans="1:16" ht="14.4" thickBot="1">
      <c r="A4" s="289" t="s">
        <v>206</v>
      </c>
      <c r="B4" s="307" t="s">
        <v>115</v>
      </c>
      <c r="C4" s="307" t="s">
        <v>171</v>
      </c>
      <c r="D4" s="307" t="s">
        <v>173</v>
      </c>
      <c r="E4" s="307" t="s">
        <v>115</v>
      </c>
      <c r="F4" s="307" t="s">
        <v>171</v>
      </c>
      <c r="G4" s="307" t="s">
        <v>173</v>
      </c>
      <c r="H4" s="307" t="s">
        <v>115</v>
      </c>
      <c r="I4" s="307" t="s">
        <v>171</v>
      </c>
      <c r="J4" s="307" t="s">
        <v>173</v>
      </c>
      <c r="K4" s="307" t="s">
        <v>115</v>
      </c>
      <c r="L4" s="307" t="s">
        <v>171</v>
      </c>
      <c r="M4" s="307" t="s">
        <v>199</v>
      </c>
      <c r="N4" s="257" t="s">
        <v>170</v>
      </c>
      <c r="P4" s="157" t="s">
        <v>88</v>
      </c>
    </row>
    <row r="5" spans="1:16">
      <c r="A5" s="308" t="s">
        <v>58</v>
      </c>
      <c r="B5" s="309" t="s">
        <v>1</v>
      </c>
      <c r="C5" s="310"/>
      <c r="D5" s="310">
        <v>3</v>
      </c>
      <c r="E5" s="311" t="s">
        <v>11</v>
      </c>
      <c r="F5" s="309"/>
      <c r="G5" s="309">
        <v>7</v>
      </c>
      <c r="H5" s="309" t="s">
        <v>88</v>
      </c>
      <c r="I5" s="309"/>
      <c r="J5" s="309">
        <v>1</v>
      </c>
      <c r="K5" s="312"/>
      <c r="L5" s="309"/>
      <c r="M5" s="309"/>
      <c r="N5" s="313">
        <f>+D5+G5+J5+M5</f>
        <v>11</v>
      </c>
      <c r="P5" s="157" t="s">
        <v>8</v>
      </c>
    </row>
    <row r="6" spans="1:16">
      <c r="A6" s="314" t="s">
        <v>59</v>
      </c>
      <c r="B6" s="312"/>
      <c r="C6" s="315"/>
      <c r="D6" s="315"/>
      <c r="E6" s="316" t="s">
        <v>10</v>
      </c>
      <c r="F6" s="312"/>
      <c r="G6" s="312">
        <v>4</v>
      </c>
      <c r="H6" s="312"/>
      <c r="I6" s="312"/>
      <c r="J6" s="312"/>
      <c r="K6" s="312"/>
      <c r="L6" s="312"/>
      <c r="M6" s="312"/>
      <c r="N6" s="317">
        <f t="shared" ref="N6:N16" si="0">+D6+G6+J6+M6</f>
        <v>4</v>
      </c>
      <c r="P6" s="157" t="s">
        <v>9</v>
      </c>
    </row>
    <row r="7" spans="1:16">
      <c r="A7" s="314" t="s">
        <v>60</v>
      </c>
      <c r="B7" s="312"/>
      <c r="C7" s="315"/>
      <c r="D7" s="315"/>
      <c r="E7" s="316"/>
      <c r="F7" s="312"/>
      <c r="G7" s="312"/>
      <c r="H7" s="312"/>
      <c r="I7" s="312"/>
      <c r="J7" s="312"/>
      <c r="K7" s="312"/>
      <c r="L7" s="312"/>
      <c r="M7" s="312"/>
      <c r="N7" s="317">
        <f t="shared" si="0"/>
        <v>0</v>
      </c>
      <c r="P7" s="157" t="s">
        <v>10</v>
      </c>
    </row>
    <row r="8" spans="1:16">
      <c r="A8" s="314" t="s">
        <v>61</v>
      </c>
      <c r="B8" s="312"/>
      <c r="C8" s="315"/>
      <c r="D8" s="315"/>
      <c r="E8" s="316"/>
      <c r="F8" s="312"/>
      <c r="G8" s="312"/>
      <c r="H8" s="312"/>
      <c r="I8" s="312"/>
      <c r="J8" s="312"/>
      <c r="K8" s="312"/>
      <c r="L8" s="312"/>
      <c r="M8" s="312"/>
      <c r="N8" s="317">
        <f t="shared" si="0"/>
        <v>0</v>
      </c>
      <c r="P8" s="157" t="s">
        <v>3</v>
      </c>
    </row>
    <row r="9" spans="1:16">
      <c r="A9" s="314" t="s">
        <v>62</v>
      </c>
      <c r="B9" s="312"/>
      <c r="C9" s="315"/>
      <c r="D9" s="315"/>
      <c r="E9" s="316"/>
      <c r="F9" s="312"/>
      <c r="G9" s="312"/>
      <c r="H9" s="312"/>
      <c r="I9" s="312"/>
      <c r="J9" s="312"/>
      <c r="K9" s="312"/>
      <c r="L9" s="312"/>
      <c r="M9" s="312"/>
      <c r="N9" s="317">
        <f t="shared" si="0"/>
        <v>0</v>
      </c>
      <c r="P9" s="157" t="s">
        <v>2</v>
      </c>
    </row>
    <row r="10" spans="1:16">
      <c r="A10" s="314" t="s">
        <v>63</v>
      </c>
      <c r="B10" s="312"/>
      <c r="C10" s="315"/>
      <c r="D10" s="315"/>
      <c r="E10" s="316"/>
      <c r="F10" s="312"/>
      <c r="G10" s="312"/>
      <c r="H10" s="312"/>
      <c r="I10" s="312"/>
      <c r="J10" s="312"/>
      <c r="K10" s="312"/>
      <c r="L10" s="312"/>
      <c r="M10" s="312"/>
      <c r="N10" s="317">
        <f t="shared" si="0"/>
        <v>0</v>
      </c>
      <c r="P10" s="157" t="s">
        <v>87</v>
      </c>
    </row>
    <row r="11" spans="1:16">
      <c r="A11" s="314" t="s">
        <v>64</v>
      </c>
      <c r="B11" s="312"/>
      <c r="C11" s="315"/>
      <c r="D11" s="315"/>
      <c r="E11" s="316"/>
      <c r="F11" s="312"/>
      <c r="G11" s="312"/>
      <c r="H11" s="312"/>
      <c r="I11" s="312"/>
      <c r="J11" s="312"/>
      <c r="K11" s="312"/>
      <c r="L11" s="312"/>
      <c r="M11" s="312"/>
      <c r="N11" s="317">
        <f t="shared" si="0"/>
        <v>0</v>
      </c>
      <c r="P11" s="157" t="s">
        <v>12</v>
      </c>
    </row>
    <row r="12" spans="1:16">
      <c r="A12" s="314" t="s">
        <v>65</v>
      </c>
      <c r="B12" s="312"/>
      <c r="C12" s="315"/>
      <c r="D12" s="315"/>
      <c r="E12" s="316"/>
      <c r="F12" s="312"/>
      <c r="G12" s="312"/>
      <c r="H12" s="312"/>
      <c r="I12" s="312"/>
      <c r="J12" s="312"/>
      <c r="K12" s="312"/>
      <c r="L12" s="312"/>
      <c r="M12" s="312"/>
      <c r="N12" s="317">
        <f t="shared" si="0"/>
        <v>0</v>
      </c>
      <c r="P12" s="157" t="s">
        <v>11</v>
      </c>
    </row>
    <row r="13" spans="1:16">
      <c r="A13" s="314" t="s">
        <v>66</v>
      </c>
      <c r="B13" s="312"/>
      <c r="C13" s="315"/>
      <c r="D13" s="315"/>
      <c r="E13" s="316"/>
      <c r="F13" s="312"/>
      <c r="G13" s="312"/>
      <c r="H13" s="312"/>
      <c r="I13" s="312"/>
      <c r="J13" s="312"/>
      <c r="K13" s="312"/>
      <c r="L13" s="312"/>
      <c r="M13" s="312"/>
      <c r="N13" s="317">
        <f t="shared" si="0"/>
        <v>0</v>
      </c>
      <c r="P13" s="157"/>
    </row>
    <row r="14" spans="1:16">
      <c r="A14" s="314" t="s">
        <v>67</v>
      </c>
      <c r="B14" s="312"/>
      <c r="C14" s="315"/>
      <c r="D14" s="315"/>
      <c r="E14" s="316"/>
      <c r="F14" s="312"/>
      <c r="G14" s="312"/>
      <c r="H14" s="312"/>
      <c r="I14" s="312"/>
      <c r="J14" s="312"/>
      <c r="K14" s="312"/>
      <c r="L14" s="312"/>
      <c r="M14" s="312"/>
      <c r="N14" s="317">
        <f t="shared" si="0"/>
        <v>0</v>
      </c>
      <c r="P14" s="312"/>
    </row>
    <row r="15" spans="1:16" ht="14.4" thickBot="1">
      <c r="A15" s="314" t="s">
        <v>68</v>
      </c>
      <c r="B15" s="312"/>
      <c r="C15" s="315"/>
      <c r="D15" s="315"/>
      <c r="E15" s="316"/>
      <c r="F15" s="312"/>
      <c r="G15" s="312"/>
      <c r="H15" s="312"/>
      <c r="I15" s="312"/>
      <c r="J15" s="312"/>
      <c r="K15" s="312"/>
      <c r="L15" s="312"/>
      <c r="M15" s="312"/>
      <c r="N15" s="317">
        <f t="shared" si="0"/>
        <v>0</v>
      </c>
      <c r="P15" s="318"/>
    </row>
    <row r="16" spans="1:16">
      <c r="A16" s="319" t="s">
        <v>69</v>
      </c>
      <c r="B16" s="320"/>
      <c r="C16" s="321"/>
      <c r="D16" s="321"/>
      <c r="E16" s="322"/>
      <c r="F16" s="320"/>
      <c r="G16" s="320"/>
      <c r="H16" s="320"/>
      <c r="I16" s="320"/>
      <c r="J16" s="320"/>
      <c r="K16" s="320"/>
      <c r="L16" s="320"/>
      <c r="M16" s="320"/>
      <c r="N16" s="317">
        <f t="shared" si="0"/>
        <v>0</v>
      </c>
    </row>
    <row r="17" spans="1:14" ht="14.4" thickBot="1">
      <c r="A17" s="323" t="s">
        <v>170</v>
      </c>
      <c r="B17" s="324"/>
      <c r="C17" s="325"/>
      <c r="D17" s="325"/>
      <c r="E17" s="326"/>
      <c r="F17" s="327"/>
      <c r="G17" s="327"/>
      <c r="H17" s="327"/>
      <c r="I17" s="327"/>
      <c r="J17" s="327"/>
      <c r="K17" s="327"/>
      <c r="L17" s="327"/>
      <c r="M17" s="327"/>
      <c r="N17" s="328">
        <f>SUM(N5:N16)</f>
        <v>15</v>
      </c>
    </row>
    <row r="18" spans="1:14" ht="14.4" thickBot="1">
      <c r="A18" s="819" t="s">
        <v>172</v>
      </c>
      <c r="B18" s="820"/>
      <c r="C18" s="820"/>
      <c r="D18" s="820"/>
      <c r="E18" s="331">
        <f>IFERROR(N17/'5.Indices'!D15,0)</f>
        <v>2.9940119760479042E-2</v>
      </c>
    </row>
    <row r="20" spans="1:14">
      <c r="A20" s="329"/>
      <c r="B20" s="329"/>
      <c r="C20" s="329"/>
      <c r="D20" s="329"/>
      <c r="E20" s="329"/>
      <c r="F20" s="329"/>
      <c r="G20" s="329"/>
      <c r="H20" s="330"/>
      <c r="I20" s="329"/>
      <c r="J20" s="329"/>
      <c r="K20" s="329"/>
      <c r="L20" s="329"/>
      <c r="M20" s="329"/>
      <c r="N20" s="329"/>
    </row>
    <row r="27" spans="1:14">
      <c r="I27" s="306" t="s">
        <v>200</v>
      </c>
    </row>
  </sheetData>
  <mergeCells count="2">
    <mergeCell ref="E2:I2"/>
    <mergeCell ref="A18:D18"/>
  </mergeCells>
  <phoneticPr fontId="2" type="noConversion"/>
  <dataValidations count="1">
    <dataValidation type="list" allowBlank="1" showInputMessage="1" showErrorMessage="1" sqref="B5:B16 H5:H16 E5:E16 K5:K16">
      <formula1>$P$2:$P$12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zoomScale="80" zoomScaleNormal="80" workbookViewId="0">
      <selection activeCell="D16" sqref="D16"/>
    </sheetView>
  </sheetViews>
  <sheetFormatPr baseColWidth="10" defaultColWidth="11.44140625" defaultRowHeight="13.8"/>
  <cols>
    <col min="1" max="1" width="24.44140625" style="69" customWidth="1"/>
    <col min="2" max="2" width="50.33203125" style="69" bestFit="1" customWidth="1"/>
    <col min="3" max="3" width="14.5546875" style="69" customWidth="1"/>
    <col min="4" max="4" width="15" style="69" customWidth="1"/>
    <col min="5" max="5" width="14.109375" style="69" customWidth="1"/>
    <col min="6" max="6" width="13.44140625" style="69" customWidth="1"/>
    <col min="7" max="16384" width="11.44140625" style="69"/>
  </cols>
  <sheetData>
    <row r="1" spans="1:31" ht="14.4" thickBot="1"/>
    <row r="2" spans="1:31" s="71" customFormat="1" ht="14.4" thickBot="1">
      <c r="A2" s="69"/>
      <c r="B2" s="827" t="s">
        <v>13</v>
      </c>
      <c r="C2" s="749"/>
      <c r="D2" s="749"/>
      <c r="E2" s="750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</row>
    <row r="3" spans="1:31" s="71" customFormat="1" ht="14.4" thickBo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</row>
    <row r="4" spans="1:31" s="71" customFormat="1" ht="14.4" thickBot="1">
      <c r="A4" s="69"/>
      <c r="B4" s="828" t="s">
        <v>82</v>
      </c>
      <c r="C4" s="829"/>
      <c r="D4" s="830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</row>
    <row r="5" spans="1:31" s="71" customFormat="1" ht="14.4" thickBot="1">
      <c r="A5" s="69"/>
      <c r="B5" s="305"/>
      <c r="C5" s="256" t="s">
        <v>7</v>
      </c>
      <c r="D5" s="257" t="s">
        <v>0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</row>
    <row r="6" spans="1:31" s="71" customFormat="1" ht="14.4" thickBot="1">
      <c r="A6" s="69"/>
      <c r="B6" s="258" t="s">
        <v>80</v>
      </c>
      <c r="C6" s="259">
        <f>+'2.Invent'!$G$89</f>
        <v>33375</v>
      </c>
      <c r="D6" s="259">
        <f>+'2.Invent'!$I$89</f>
        <v>6675000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</row>
    <row r="7" spans="1:31" s="71" customFormat="1" ht="14.4" thickBot="1">
      <c r="A7" s="69"/>
      <c r="B7" s="258" t="s">
        <v>81</v>
      </c>
      <c r="C7" s="260">
        <f>+'2.Invent'!$G$58</f>
        <v>0</v>
      </c>
      <c r="D7" s="260">
        <f>+'2.Invent'!$I$58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</row>
    <row r="8" spans="1:31" s="71" customFormat="1" ht="14.4" thickBot="1">
      <c r="A8" s="69"/>
      <c r="B8" s="258" t="s">
        <v>6</v>
      </c>
      <c r="C8" s="260">
        <f>+'2.Invent'!$S$23</f>
        <v>14800</v>
      </c>
      <c r="D8" s="260">
        <f>+'2.Invent'!$U$23</f>
        <v>12441200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</row>
    <row r="9" spans="1:31" s="71" customFormat="1" ht="14.4" thickBot="1">
      <c r="A9" s="69"/>
      <c r="B9" s="261" t="s">
        <v>79</v>
      </c>
      <c r="C9" s="262">
        <f>SUM(C6:C8)</f>
        <v>48175</v>
      </c>
      <c r="D9" s="263">
        <f>SUM(D6:D8)</f>
        <v>19116200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</row>
    <row r="10" spans="1:31" s="71" customFormat="1" ht="14.4" thickBot="1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</row>
    <row r="11" spans="1:31" s="71" customFormat="1" ht="14.4" thickBot="1">
      <c r="A11" s="69"/>
      <c r="B11" s="258" t="s">
        <v>230</v>
      </c>
      <c r="C11" s="264">
        <f>+'1.Datos'!L9</f>
        <v>140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</row>
    <row r="12" spans="1:31" s="71" customFormat="1" ht="18.75" customHeight="1" thickBot="1">
      <c r="A12" s="69"/>
      <c r="B12" s="258" t="s">
        <v>231</v>
      </c>
      <c r="C12" s="264">
        <f>('2.Invent'!B5+'2.Invent'!B6+'2.Invent'!J5+'2.Invent'!J6)/2</f>
        <v>311.5</v>
      </c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</row>
    <row r="13" spans="1:31" s="71" customFormat="1" ht="19.5" customHeight="1" thickBot="1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</row>
    <row r="14" spans="1:31" s="71" customFormat="1" ht="14.4" thickBot="1">
      <c r="A14" s="69"/>
      <c r="B14" s="69"/>
      <c r="C14" s="265" t="s">
        <v>83</v>
      </c>
      <c r="D14" s="266" t="s">
        <v>47</v>
      </c>
      <c r="E14" s="267" t="s">
        <v>228</v>
      </c>
      <c r="F14" s="268" t="s">
        <v>229</v>
      </c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</row>
    <row r="15" spans="1:31" s="71" customFormat="1" ht="17.100000000000001" customHeight="1">
      <c r="A15" s="69"/>
      <c r="B15" s="831" t="s">
        <v>84</v>
      </c>
      <c r="C15" s="269" t="s">
        <v>28</v>
      </c>
      <c r="D15" s="270">
        <f>('2.Invent'!B23+'2.Invent'!J23)/2</f>
        <v>501</v>
      </c>
      <c r="E15" s="271">
        <f>IFERROR($D15/$C$11,0)</f>
        <v>3.5785714285714287</v>
      </c>
      <c r="F15" s="272">
        <f>IFERROR($D15/$C$12,0)</f>
        <v>1.608346709470305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</row>
    <row r="16" spans="1:31" s="71" customFormat="1" ht="17.100000000000001" customHeight="1">
      <c r="A16" s="69"/>
      <c r="B16" s="832"/>
      <c r="C16" s="273" t="s">
        <v>30</v>
      </c>
      <c r="D16" s="274">
        <f>('2.Invent'!D23+'2.Invent'!L23)/2</f>
        <v>172710</v>
      </c>
      <c r="E16" s="274">
        <f t="shared" ref="E16:E19" si="0">IFERROR($D16/$C$11,0)</f>
        <v>1233.6428571428571</v>
      </c>
      <c r="F16" s="275">
        <f t="shared" ref="F16:F19" si="1">IFERROR($D16/$C$12,0)</f>
        <v>554.446227929374</v>
      </c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</row>
    <row r="17" spans="1:31" s="71" customFormat="1" ht="17.100000000000001" customHeight="1" thickBot="1">
      <c r="A17" s="69"/>
      <c r="B17" s="833"/>
      <c r="C17" s="276" t="s">
        <v>29</v>
      </c>
      <c r="D17" s="277">
        <f>('2.Invent'!I23+'2.Invent'!Q23)/2</f>
        <v>503.83498723326397</v>
      </c>
      <c r="E17" s="278">
        <f t="shared" si="0"/>
        <v>3.598821337380457</v>
      </c>
      <c r="F17" s="279">
        <f t="shared" si="1"/>
        <v>1.6174477920811043</v>
      </c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</row>
    <row r="18" spans="1:31" s="71" customFormat="1" ht="17.100000000000001" customHeight="1">
      <c r="A18" s="69"/>
      <c r="B18" s="831" t="s">
        <v>86</v>
      </c>
      <c r="C18" s="280" t="s">
        <v>30</v>
      </c>
      <c r="D18" s="270">
        <f>+$C$9</f>
        <v>48175</v>
      </c>
      <c r="E18" s="270">
        <f t="shared" si="0"/>
        <v>344.10714285714283</v>
      </c>
      <c r="F18" s="281">
        <f t="shared" si="1"/>
        <v>154.65489566613161</v>
      </c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</row>
    <row r="19" spans="1:31" s="71" customFormat="1" ht="17.100000000000001" customHeight="1" thickBot="1">
      <c r="A19" s="69"/>
      <c r="B19" s="833"/>
      <c r="C19" s="282" t="s">
        <v>0</v>
      </c>
      <c r="D19" s="277">
        <f>+$D$9</f>
        <v>19116200</v>
      </c>
      <c r="E19" s="277">
        <f t="shared" si="0"/>
        <v>136544.28571428571</v>
      </c>
      <c r="F19" s="283">
        <f t="shared" si="1"/>
        <v>61368.218298555374</v>
      </c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</row>
    <row r="20" spans="1:31" s="71" customFormat="1" ht="17.100000000000001" customHeight="1" thickBot="1">
      <c r="A20" s="69"/>
      <c r="B20" s="1" t="s">
        <v>233</v>
      </c>
      <c r="C20" s="284" t="s">
        <v>234</v>
      </c>
      <c r="D20" s="285">
        <f>+D16/D15</f>
        <v>344.73053892215569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</row>
    <row r="21" spans="1:31" s="71" customFormat="1" ht="14.4" thickBot="1">
      <c r="A21" s="69"/>
      <c r="B21" s="242" t="s">
        <v>31</v>
      </c>
      <c r="C21" s="286" t="s">
        <v>91</v>
      </c>
      <c r="D21" s="287">
        <f>IFERROR(D18/D16,0)</f>
        <v>0.27893578831567367</v>
      </c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</row>
    <row r="22" spans="1:31" s="71" customFormat="1" ht="14.4" thickBot="1">
      <c r="A22" s="69"/>
      <c r="B22" s="242" t="s">
        <v>236</v>
      </c>
      <c r="C22" s="286" t="s">
        <v>235</v>
      </c>
      <c r="D22" s="288">
        <f>+D18/D15/365</f>
        <v>0.26344571131709188</v>
      </c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</row>
    <row r="23" spans="1:31" s="71" customFormat="1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</row>
    <row r="24" spans="1:31" s="71" customFormat="1" ht="14.4" thickBot="1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</row>
    <row r="25" spans="1:31" s="71" customFormat="1" ht="14.4" thickBot="1">
      <c r="A25" s="69"/>
      <c r="B25" s="289" t="s">
        <v>190</v>
      </c>
      <c r="C25" s="290" t="s">
        <v>83</v>
      </c>
      <c r="D25" s="257" t="s">
        <v>208</v>
      </c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</row>
    <row r="26" spans="1:31" s="71" customFormat="1" ht="14.4" thickBot="1">
      <c r="A26" s="69"/>
      <c r="B26" s="291" t="s">
        <v>197</v>
      </c>
      <c r="C26" s="292" t="s">
        <v>16</v>
      </c>
      <c r="D26" s="293">
        <f>+'6.Procreo'!C20</f>
        <v>292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</row>
    <row r="27" spans="1:31" s="71" customFormat="1" ht="14.4" thickBot="1">
      <c r="A27" s="69"/>
      <c r="B27" s="294" t="s">
        <v>232</v>
      </c>
      <c r="C27" s="295" t="s">
        <v>16</v>
      </c>
      <c r="D27" s="293">
        <f>+'6.Procreo'!C26</f>
        <v>243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</row>
    <row r="28" spans="1:31" s="71" customFormat="1" ht="14.4" thickBot="1">
      <c r="A28" s="69"/>
      <c r="B28" s="294" t="s">
        <v>95</v>
      </c>
      <c r="C28" s="296" t="s">
        <v>5</v>
      </c>
      <c r="D28" s="293">
        <f>+'6.Procreo'!C31*100</f>
        <v>83.219178082191775</v>
      </c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</row>
    <row r="29" spans="1:31" s="71" customFormat="1" ht="14.4" thickBot="1">
      <c r="A29" s="69"/>
      <c r="B29" s="289" t="s">
        <v>191</v>
      </c>
      <c r="C29" s="290" t="s">
        <v>83</v>
      </c>
      <c r="D29" s="257" t="s">
        <v>47</v>
      </c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</row>
    <row r="30" spans="1:31" s="71" customFormat="1" ht="14.4" thickBot="1">
      <c r="A30" s="69"/>
      <c r="B30" s="291" t="s">
        <v>181</v>
      </c>
      <c r="C30" s="292" t="s">
        <v>16</v>
      </c>
      <c r="D30" s="297">
        <f>+'6.Procreo'!F4</f>
        <v>280</v>
      </c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</row>
    <row r="31" spans="1:31" s="71" customFormat="1" ht="14.4" thickBot="1">
      <c r="A31" s="69"/>
      <c r="B31" s="294" t="s">
        <v>180</v>
      </c>
      <c r="C31" s="295" t="s">
        <v>16</v>
      </c>
      <c r="D31" s="297">
        <f>+'6.Procreo'!F5</f>
        <v>250</v>
      </c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</row>
    <row r="32" spans="1:31" s="71" customFormat="1" ht="14.4" thickBot="1">
      <c r="A32" s="69"/>
      <c r="B32" s="294" t="s">
        <v>188</v>
      </c>
      <c r="C32" s="295" t="s">
        <v>16</v>
      </c>
      <c r="D32" s="297">
        <f>+'6.Procreo'!F7</f>
        <v>230</v>
      </c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</row>
    <row r="33" spans="1:31" s="71" customFormat="1" ht="14.4" thickBot="1">
      <c r="A33" s="69"/>
      <c r="B33" s="294" t="s">
        <v>198</v>
      </c>
      <c r="C33" s="295" t="s">
        <v>5</v>
      </c>
      <c r="D33" s="297">
        <f>+'6.Procreo'!F8*100</f>
        <v>82.142857142857139</v>
      </c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</row>
    <row r="34" spans="1:31" s="71" customFormat="1" ht="14.4" thickBot="1">
      <c r="A34" s="69"/>
      <c r="B34" s="294" t="s">
        <v>90</v>
      </c>
      <c r="C34" s="295" t="s">
        <v>16</v>
      </c>
      <c r="D34" s="297">
        <f>+'6.Procreo'!F9</f>
        <v>200</v>
      </c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</row>
    <row r="35" spans="1:31" s="71" customFormat="1" ht="14.4" thickBot="1">
      <c r="A35" s="69"/>
      <c r="B35" s="298" t="s">
        <v>32</v>
      </c>
      <c r="C35" s="299" t="s">
        <v>5</v>
      </c>
      <c r="D35" s="297">
        <f>+'6.Procreo'!F10*100</f>
        <v>71.428571428571431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</row>
    <row r="36" spans="1:31" s="71" customFormat="1" ht="14.4" thickBot="1">
      <c r="A36" s="69"/>
      <c r="B36" s="289" t="s">
        <v>207</v>
      </c>
      <c r="C36" s="290" t="s">
        <v>83</v>
      </c>
      <c r="D36" s="300" t="s">
        <v>47</v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</row>
    <row r="37" spans="1:31" s="71" customFormat="1" ht="14.4" thickBot="1">
      <c r="A37" s="69"/>
      <c r="B37" s="291" t="s">
        <v>185</v>
      </c>
      <c r="C37" s="301" t="s">
        <v>5</v>
      </c>
      <c r="D37" s="302">
        <f>IFERROR(1-(D32/D31),0)*100</f>
        <v>7.9999999999999964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</row>
    <row r="38" spans="1:31" s="71" customFormat="1" ht="14.4" thickBot="1">
      <c r="A38" s="69"/>
      <c r="B38" s="294" t="s">
        <v>184</v>
      </c>
      <c r="C38" s="296" t="s">
        <v>5</v>
      </c>
      <c r="D38" s="297">
        <f>IFERROR(1-(D34/D32),0)*100</f>
        <v>13.043478260869568</v>
      </c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</row>
    <row r="39" spans="1:31" s="71" customFormat="1" ht="14.4" thickBot="1">
      <c r="A39" s="69"/>
      <c r="B39" s="294" t="s">
        <v>189</v>
      </c>
      <c r="C39" s="296" t="s">
        <v>5</v>
      </c>
      <c r="D39" s="297">
        <f>IFERROR(1-(D34/D31),0)*100</f>
        <v>19.999999999999996</v>
      </c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</row>
    <row r="40" spans="1:31" s="71" customFormat="1">
      <c r="A40" s="69"/>
      <c r="B40" s="69"/>
      <c r="C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</row>
    <row r="41" spans="1:31" s="71" customFormat="1" ht="14.4" thickBot="1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</row>
    <row r="42" spans="1:31" s="71" customFormat="1" ht="14.4" thickBot="1">
      <c r="A42" s="69"/>
      <c r="B42" s="834" t="s">
        <v>106</v>
      </c>
      <c r="C42" s="835"/>
      <c r="D42" s="303">
        <f>IFERROR('6.Procreo'!C18/'6.Procreo'!C20,0)</f>
        <v>0.16438356164383561</v>
      </c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</row>
    <row r="43" spans="1:31" s="71" customFormat="1" ht="14.4" thickBot="1">
      <c r="A43" s="69"/>
      <c r="B43" s="825" t="s">
        <v>107</v>
      </c>
      <c r="C43" s="826"/>
      <c r="D43" s="304">
        <f>IFERROR('3.Nacim'!K20/'6.Procreo'!C9,0)</f>
        <v>0.16666666666666666</v>
      </c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</row>
    <row r="44" spans="1:31" s="71" customFormat="1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</row>
  </sheetData>
  <sheetProtection algorithmName="SHA-512" hashValue="XtyznbXj+xPOvt6uZStkso7REYQwuNacEkb6treb+xpJ3UnHY9hZxI4fomOKVKRK7HV4PUB1K6Ri61rWY5sgtA==" saltValue="Ad5GzvLnjGiXIpGjnT4SYw==" spinCount="100000" sheet="1" objects="1" scenarios="1"/>
  <mergeCells count="6">
    <mergeCell ref="B43:C43"/>
    <mergeCell ref="B2:E2"/>
    <mergeCell ref="B4:D4"/>
    <mergeCell ref="B15:B17"/>
    <mergeCell ref="B18:B19"/>
    <mergeCell ref="B42:C4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2"/>
  <sheetViews>
    <sheetView zoomScale="80" zoomScaleNormal="80" workbookViewId="0">
      <selection activeCell="A6" sqref="A6"/>
    </sheetView>
  </sheetViews>
  <sheetFormatPr baseColWidth="10" defaultColWidth="11.44140625" defaultRowHeight="13.8"/>
  <cols>
    <col min="1" max="1" width="71.44140625" style="69" bestFit="1" customWidth="1"/>
    <col min="2" max="2" width="15.5546875" style="69" bestFit="1" customWidth="1"/>
    <col min="3" max="3" width="18" style="69" customWidth="1"/>
    <col min="4" max="4" width="11.44140625" style="69"/>
    <col min="5" max="5" width="49.6640625" style="69" customWidth="1"/>
    <col min="6" max="16384" width="11.44140625" style="69"/>
  </cols>
  <sheetData>
    <row r="2" spans="1:6" ht="30.75" customHeight="1" thickBot="1"/>
    <row r="3" spans="1:6" ht="14.4" thickBot="1">
      <c r="A3" s="840" t="s">
        <v>159</v>
      </c>
      <c r="B3" s="841"/>
      <c r="C3" s="842"/>
      <c r="E3" s="838" t="s">
        <v>160</v>
      </c>
      <c r="F3" s="839"/>
    </row>
    <row r="4" spans="1:6" ht="14.4" thickBot="1">
      <c r="A4" s="215"/>
      <c r="B4" s="216"/>
      <c r="C4" s="217"/>
      <c r="E4" s="218" t="s">
        <v>192</v>
      </c>
      <c r="F4" s="219">
        <v>280</v>
      </c>
    </row>
    <row r="5" spans="1:6" ht="14.4" thickBot="1">
      <c r="A5" s="220" t="s">
        <v>195</v>
      </c>
      <c r="B5" s="845">
        <v>43739</v>
      </c>
      <c r="C5" s="846"/>
      <c r="E5" s="221" t="s">
        <v>182</v>
      </c>
      <c r="F5" s="222">
        <v>250</v>
      </c>
    </row>
    <row r="6" spans="1:6" ht="14.4" thickBot="1">
      <c r="A6" s="223" t="s">
        <v>122</v>
      </c>
      <c r="B6" s="224"/>
      <c r="C6" s="225">
        <v>200</v>
      </c>
      <c r="E6" s="226" t="s">
        <v>157</v>
      </c>
      <c r="F6" s="227">
        <f>IFERROR(F5/F4,0)</f>
        <v>0.8928571428571429</v>
      </c>
    </row>
    <row r="7" spans="1:6" ht="14.4" thickBot="1">
      <c r="A7" s="228" t="s">
        <v>123</v>
      </c>
      <c r="B7" s="229"/>
      <c r="C7" s="230">
        <f>+'2.Invent'!B6</f>
        <v>50</v>
      </c>
      <c r="E7" s="221" t="s">
        <v>187</v>
      </c>
      <c r="F7" s="222">
        <v>230</v>
      </c>
    </row>
    <row r="8" spans="1:6" ht="14.4" thickBot="1">
      <c r="A8" s="228" t="s">
        <v>124</v>
      </c>
      <c r="B8" s="229"/>
      <c r="C8" s="230">
        <v>50</v>
      </c>
      <c r="E8" s="226" t="s">
        <v>186</v>
      </c>
      <c r="F8" s="227">
        <f>IFERROR(F7/F4,0)</f>
        <v>0.8214285714285714</v>
      </c>
    </row>
    <row r="9" spans="1:6" ht="14.4" thickBot="1">
      <c r="A9" s="231" t="s">
        <v>177</v>
      </c>
      <c r="B9" s="232"/>
      <c r="C9" s="233">
        <f>SUM(C6:C8)</f>
        <v>300</v>
      </c>
      <c r="E9" s="221" t="s">
        <v>183</v>
      </c>
      <c r="F9" s="222">
        <v>200</v>
      </c>
    </row>
    <row r="10" spans="1:6" ht="14.4" thickBot="1">
      <c r="A10" s="234"/>
      <c r="B10" s="235"/>
      <c r="C10" s="236"/>
      <c r="E10" s="226" t="s">
        <v>158</v>
      </c>
      <c r="F10" s="227">
        <f>IFERROR(F9/F4,0)</f>
        <v>0.7142857142857143</v>
      </c>
    </row>
    <row r="11" spans="1:6" ht="14.4" thickBot="1">
      <c r="A11" s="237" t="s">
        <v>125</v>
      </c>
      <c r="B11" s="228"/>
      <c r="C11" s="238">
        <v>5</v>
      </c>
    </row>
    <row r="12" spans="1:6" ht="14.4" thickBot="1">
      <c r="A12" s="237" t="s">
        <v>126</v>
      </c>
      <c r="B12" s="228"/>
      <c r="C12" s="238">
        <v>2</v>
      </c>
    </row>
    <row r="13" spans="1:6" ht="14.4" thickBot="1">
      <c r="A13" s="237" t="s">
        <v>127</v>
      </c>
      <c r="B13" s="228"/>
      <c r="C13" s="238">
        <v>1</v>
      </c>
    </row>
    <row r="14" spans="1:6" ht="14.4" thickBot="1">
      <c r="A14" s="231" t="s">
        <v>176</v>
      </c>
      <c r="B14" s="232"/>
      <c r="C14" s="233">
        <f>+C9-C11-C12-C13</f>
        <v>292</v>
      </c>
    </row>
    <row r="15" spans="1:6" ht="14.4" thickBot="1">
      <c r="A15" s="239"/>
      <c r="B15" s="240"/>
      <c r="C15" s="241"/>
    </row>
    <row r="16" spans="1:6" ht="14.4" thickBot="1">
      <c r="A16" s="242" t="s">
        <v>128</v>
      </c>
      <c r="B16" s="843">
        <f>3*30.41+B5</f>
        <v>43830.23</v>
      </c>
      <c r="C16" s="844"/>
    </row>
    <row r="17" spans="1:9" ht="14.4" thickBot="1">
      <c r="A17" s="237" t="s">
        <v>196</v>
      </c>
      <c r="B17" s="228"/>
      <c r="C17" s="243">
        <f>+C6-C11</f>
        <v>195</v>
      </c>
    </row>
    <row r="18" spans="1:9" ht="14.4" thickBot="1">
      <c r="A18" s="237" t="s">
        <v>174</v>
      </c>
      <c r="B18" s="228"/>
      <c r="C18" s="243">
        <f>+C7-C12</f>
        <v>48</v>
      </c>
    </row>
    <row r="19" spans="1:9" ht="14.4" thickBot="1">
      <c r="A19" s="237" t="s">
        <v>175</v>
      </c>
      <c r="B19" s="228"/>
      <c r="C19" s="243">
        <f>+C8-C13</f>
        <v>49</v>
      </c>
    </row>
    <row r="20" spans="1:9" ht="14.4" thickBot="1">
      <c r="A20" s="231" t="s">
        <v>176</v>
      </c>
      <c r="B20" s="232"/>
      <c r="C20" s="233">
        <f>SUM(C17:C19)</f>
        <v>292</v>
      </c>
    </row>
    <row r="21" spans="1:9" ht="14.4" thickBot="1">
      <c r="A21" s="239"/>
      <c r="B21" s="240"/>
      <c r="C21" s="244"/>
    </row>
    <row r="22" spans="1:9" ht="14.4" thickBot="1">
      <c r="A22" s="242" t="s">
        <v>129</v>
      </c>
      <c r="B22" s="836">
        <f>+B16+3.2*30.41</f>
        <v>43927.542000000001</v>
      </c>
      <c r="C22" s="837"/>
    </row>
    <row r="23" spans="1:9" ht="14.4" thickBot="1">
      <c r="A23" s="237" t="s">
        <v>130</v>
      </c>
      <c r="B23" s="228"/>
      <c r="C23" s="245">
        <v>175</v>
      </c>
    </row>
    <row r="24" spans="1:9" ht="14.4" thickBot="1">
      <c r="A24" s="237" t="s">
        <v>131</v>
      </c>
      <c r="B24" s="228"/>
      <c r="C24" s="245">
        <v>35</v>
      </c>
    </row>
    <row r="25" spans="1:9" ht="14.4" thickBot="1">
      <c r="A25" s="237" t="s">
        <v>132</v>
      </c>
      <c r="B25" s="228"/>
      <c r="C25" s="245">
        <v>33</v>
      </c>
      <c r="I25" s="69" t="s">
        <v>200</v>
      </c>
    </row>
    <row r="26" spans="1:9" ht="14.4" thickBot="1">
      <c r="A26" s="231" t="s">
        <v>133</v>
      </c>
      <c r="B26" s="232"/>
      <c r="C26" s="233">
        <f>SUM(C23:C25)</f>
        <v>243</v>
      </c>
    </row>
    <row r="27" spans="1:9" ht="14.4" thickBot="1">
      <c r="A27" s="246"/>
      <c r="B27" s="234"/>
      <c r="C27" s="247"/>
    </row>
    <row r="28" spans="1:9" ht="14.4" thickBot="1">
      <c r="A28" s="237" t="s">
        <v>134</v>
      </c>
      <c r="B28" s="237"/>
      <c r="C28" s="248">
        <f>IFERROR(C23/C17,0)</f>
        <v>0.89743589743589747</v>
      </c>
    </row>
    <row r="29" spans="1:9" ht="14.4" thickBot="1">
      <c r="A29" s="237" t="s">
        <v>135</v>
      </c>
      <c r="B29" s="237"/>
      <c r="C29" s="248">
        <f>IFERROR(C24/C18,0)</f>
        <v>0.72916666666666663</v>
      </c>
    </row>
    <row r="30" spans="1:9" ht="14.4" thickBot="1">
      <c r="A30" s="237" t="s">
        <v>136</v>
      </c>
      <c r="B30" s="237"/>
      <c r="C30" s="248">
        <f>IFERROR(C25/C19,0)</f>
        <v>0.67346938775510201</v>
      </c>
    </row>
    <row r="31" spans="1:9" ht="14.4" thickBot="1">
      <c r="A31" s="249" t="s">
        <v>137</v>
      </c>
      <c r="B31" s="249"/>
      <c r="C31" s="250">
        <f>IFERROR(C26/C20,0)</f>
        <v>0.8321917808219178</v>
      </c>
    </row>
    <row r="32" spans="1:9" ht="14.4" thickBot="1">
      <c r="A32" s="242" t="s">
        <v>138</v>
      </c>
      <c r="B32" s="836">
        <f>+B5+9*30.41</f>
        <v>44012.69</v>
      </c>
      <c r="C32" s="837"/>
    </row>
    <row r="33" spans="1:3" ht="14.4" thickBot="1">
      <c r="A33" s="237" t="s">
        <v>139</v>
      </c>
      <c r="B33" s="228"/>
      <c r="C33" s="245">
        <v>163</v>
      </c>
    </row>
    <row r="34" spans="1:3" ht="14.4" thickBot="1">
      <c r="A34" s="237" t="s">
        <v>140</v>
      </c>
      <c r="B34" s="228"/>
      <c r="C34" s="245">
        <v>31</v>
      </c>
    </row>
    <row r="35" spans="1:3" ht="14.4" thickBot="1">
      <c r="A35" s="237" t="s">
        <v>141</v>
      </c>
      <c r="B35" s="228"/>
      <c r="C35" s="245">
        <v>30</v>
      </c>
    </row>
    <row r="36" spans="1:3" ht="14.4" thickBot="1">
      <c r="A36" s="231" t="s">
        <v>142</v>
      </c>
      <c r="B36" s="232"/>
      <c r="C36" s="251">
        <f>SUM(C33:C35)</f>
        <v>224</v>
      </c>
    </row>
    <row r="37" spans="1:3" ht="14.4" thickBot="1">
      <c r="A37" s="252"/>
      <c r="B37" s="253"/>
      <c r="C37" s="254"/>
    </row>
    <row r="38" spans="1:3" ht="14.4" thickBot="1">
      <c r="A38" s="223" t="s">
        <v>143</v>
      </c>
      <c r="B38" s="223"/>
      <c r="C38" s="248">
        <f>IFERROR(C33/C17,0)</f>
        <v>0.83589743589743593</v>
      </c>
    </row>
    <row r="39" spans="1:3" ht="14.4" thickBot="1">
      <c r="A39" s="228" t="s">
        <v>144</v>
      </c>
      <c r="B39" s="228"/>
      <c r="C39" s="248">
        <f>IFERROR(C34/C18,0)</f>
        <v>0.64583333333333337</v>
      </c>
    </row>
    <row r="40" spans="1:3" ht="14.4" thickBot="1">
      <c r="A40" s="228" t="s">
        <v>145</v>
      </c>
      <c r="B40" s="228"/>
      <c r="C40" s="248">
        <f>IFERROR(C35/C19,0)</f>
        <v>0.61224489795918369</v>
      </c>
    </row>
    <row r="41" spans="1:3" ht="14.4" thickBot="1">
      <c r="A41" s="228" t="s">
        <v>146</v>
      </c>
      <c r="B41" s="228"/>
      <c r="C41" s="248">
        <f>IFERROR(C36/C20,0)</f>
        <v>0.76712328767123283</v>
      </c>
    </row>
    <row r="42" spans="1:3" ht="14.4" thickBot="1">
      <c r="A42" s="242" t="s">
        <v>147</v>
      </c>
      <c r="B42" s="836">
        <f>+B32+30.41*7.5</f>
        <v>44240.764999999999</v>
      </c>
      <c r="C42" s="837"/>
    </row>
    <row r="43" spans="1:3" ht="14.4" thickBot="1">
      <c r="A43" s="242" t="s">
        <v>148</v>
      </c>
      <c r="B43" s="836">
        <f>+B42+3.5*30.41</f>
        <v>44347.199999999997</v>
      </c>
      <c r="C43" s="837"/>
    </row>
    <row r="44" spans="1:3" ht="14.4" thickBot="1">
      <c r="A44" s="237" t="s">
        <v>149</v>
      </c>
      <c r="B44" s="223"/>
      <c r="C44" s="245">
        <v>160</v>
      </c>
    </row>
    <row r="45" spans="1:3" ht="14.4" thickBot="1">
      <c r="A45" s="237" t="s">
        <v>150</v>
      </c>
      <c r="B45" s="228"/>
      <c r="C45" s="245">
        <v>30</v>
      </c>
    </row>
    <row r="46" spans="1:3" ht="14.4" thickBot="1">
      <c r="A46" s="237" t="s">
        <v>151</v>
      </c>
      <c r="B46" s="228"/>
      <c r="C46" s="245">
        <v>29</v>
      </c>
    </row>
    <row r="47" spans="1:3" ht="14.4" thickBot="1">
      <c r="A47" s="231" t="s">
        <v>152</v>
      </c>
      <c r="B47" s="232"/>
      <c r="C47" s="255">
        <f>SUM(C44:C46)</f>
        <v>219</v>
      </c>
    </row>
    <row r="48" spans="1:3" ht="14.4" thickBot="1">
      <c r="A48" s="252"/>
      <c r="B48" s="253"/>
      <c r="C48" s="254"/>
    </row>
    <row r="49" spans="1:3" ht="14.4" thickBot="1">
      <c r="A49" s="237" t="s">
        <v>153</v>
      </c>
      <c r="B49" s="223"/>
      <c r="C49" s="248">
        <f>IFERROR(C44/C17,0)</f>
        <v>0.82051282051282048</v>
      </c>
    </row>
    <row r="50" spans="1:3" ht="14.4" thickBot="1">
      <c r="A50" s="237" t="s">
        <v>154</v>
      </c>
      <c r="B50" s="228"/>
      <c r="C50" s="248">
        <f>IFERROR(C45/C18,0)</f>
        <v>0.625</v>
      </c>
    </row>
    <row r="51" spans="1:3" ht="14.4" thickBot="1">
      <c r="A51" s="237" t="s">
        <v>155</v>
      </c>
      <c r="B51" s="228"/>
      <c r="C51" s="248">
        <f>IFERROR(C46/C19,0)</f>
        <v>0.59183673469387754</v>
      </c>
    </row>
    <row r="52" spans="1:3" ht="14.4" thickBot="1">
      <c r="A52" s="237" t="s">
        <v>156</v>
      </c>
      <c r="B52" s="228"/>
      <c r="C52" s="248">
        <f>IFERROR(C47/C20,0)</f>
        <v>0.75</v>
      </c>
    </row>
  </sheetData>
  <mergeCells count="8">
    <mergeCell ref="B42:C42"/>
    <mergeCell ref="B43:C43"/>
    <mergeCell ref="E3:F3"/>
    <mergeCell ref="A3:C3"/>
    <mergeCell ref="B32:C32"/>
    <mergeCell ref="B22:C22"/>
    <mergeCell ref="B16:C16"/>
    <mergeCell ref="B5:C5"/>
  </mergeCells>
  <pageMargins left="0.25" right="0.25" top="0.75" bottom="0.75" header="0.3" footer="0.3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9"/>
  <sheetViews>
    <sheetView showGridLines="0" topLeftCell="A19" zoomScaleNormal="100" workbookViewId="0">
      <selection activeCell="G22" sqref="G22"/>
    </sheetView>
  </sheetViews>
  <sheetFormatPr baseColWidth="10" defaultColWidth="11.44140625" defaultRowHeight="13.8"/>
  <cols>
    <col min="1" max="1" width="2.109375" style="687" customWidth="1"/>
    <col min="2" max="2" width="27.109375" style="690" customWidth="1"/>
    <col min="3" max="3" width="32.33203125" style="698" customWidth="1"/>
    <col min="4" max="4" width="7.88671875" style="692" customWidth="1"/>
    <col min="5" max="5" width="11" style="687" customWidth="1"/>
    <col min="6" max="6" width="9" style="687" customWidth="1"/>
    <col min="7" max="7" width="8.109375" style="687" customWidth="1"/>
    <col min="8" max="8" width="12.88671875" style="687" customWidth="1"/>
    <col min="9" max="9" width="14.44140625" style="687" customWidth="1"/>
    <col min="10" max="10" width="13.6640625" style="687" customWidth="1"/>
    <col min="11" max="11" width="12.109375" style="687" customWidth="1"/>
    <col min="12" max="12" width="15.44140625" style="687" customWidth="1"/>
    <col min="13" max="16384" width="11.44140625" style="687"/>
  </cols>
  <sheetData>
    <row r="1" spans="1:12" ht="17.25" customHeight="1" thickBot="1">
      <c r="B1" s="851" t="s">
        <v>618</v>
      </c>
      <c r="C1" s="853" t="s">
        <v>330</v>
      </c>
      <c r="D1" s="861" t="s">
        <v>357</v>
      </c>
      <c r="E1" s="862"/>
      <c r="F1" s="862"/>
      <c r="G1" s="862"/>
      <c r="H1" s="862"/>
    </row>
    <row r="2" spans="1:12" ht="15" customHeight="1">
      <c r="A2" s="688"/>
      <c r="B2" s="852"/>
      <c r="C2" s="853"/>
      <c r="D2" s="425">
        <v>0.2</v>
      </c>
      <c r="E2" s="707" t="s">
        <v>359</v>
      </c>
      <c r="F2" s="518"/>
      <c r="G2" s="518"/>
      <c r="H2" s="518"/>
      <c r="J2" s="689" t="s">
        <v>659</v>
      </c>
    </row>
    <row r="3" spans="1:12" ht="15" customHeight="1" thickBot="1">
      <c r="A3" s="688"/>
      <c r="B3" s="852"/>
      <c r="C3" s="853"/>
      <c r="D3" s="426">
        <v>0.25</v>
      </c>
      <c r="E3" s="708" t="s">
        <v>358</v>
      </c>
      <c r="F3" s="518"/>
      <c r="G3" s="518"/>
      <c r="H3" s="518"/>
    </row>
    <row r="4" spans="1:12" ht="14.4" customHeight="1" thickBot="1">
      <c r="C4" s="691"/>
      <c r="H4" s="863" t="s">
        <v>331</v>
      </c>
      <c r="I4" s="864"/>
    </row>
    <row r="5" spans="1:12" s="693" customFormat="1" ht="30.75" customHeight="1" thickBot="1">
      <c r="B5" s="709" t="s">
        <v>332</v>
      </c>
      <c r="C5" s="710" t="s">
        <v>333</v>
      </c>
      <c r="D5" s="709" t="s">
        <v>360</v>
      </c>
      <c r="E5" s="709" t="s">
        <v>334</v>
      </c>
      <c r="F5" s="709" t="s">
        <v>335</v>
      </c>
      <c r="G5" s="709" t="s">
        <v>619</v>
      </c>
      <c r="H5" s="709" t="s">
        <v>337</v>
      </c>
      <c r="I5" s="709" t="s">
        <v>338</v>
      </c>
      <c r="J5" s="709" t="s">
        <v>372</v>
      </c>
      <c r="K5" s="709" t="s">
        <v>339</v>
      </c>
      <c r="L5" s="711" t="s">
        <v>371</v>
      </c>
    </row>
    <row r="6" spans="1:12">
      <c r="B6" s="60" t="s">
        <v>340</v>
      </c>
      <c r="C6" s="694"/>
      <c r="D6" s="695">
        <v>1</v>
      </c>
      <c r="E6" s="61">
        <f>+'1.Datos'!B11</f>
        <v>150</v>
      </c>
      <c r="F6" s="61" t="s">
        <v>341</v>
      </c>
      <c r="G6" s="61"/>
      <c r="H6" s="61">
        <f>+'1.Datos'!B17*'1.Datos'!$F$5</f>
        <v>400000</v>
      </c>
      <c r="I6" s="61">
        <f>+H6*E6</f>
        <v>60000000</v>
      </c>
      <c r="J6" s="421" t="s">
        <v>111</v>
      </c>
      <c r="K6" s="421" t="s">
        <v>111</v>
      </c>
      <c r="L6" s="64">
        <f>+I6*D6</f>
        <v>60000000</v>
      </c>
    </row>
    <row r="7" spans="1:12">
      <c r="B7" s="55" t="s">
        <v>342</v>
      </c>
      <c r="C7" s="418" t="s">
        <v>343</v>
      </c>
      <c r="D7" s="696">
        <v>1</v>
      </c>
      <c r="E7" s="422" t="s">
        <v>111</v>
      </c>
      <c r="F7" s="422" t="s">
        <v>111</v>
      </c>
      <c r="G7" s="422" t="s">
        <v>111</v>
      </c>
      <c r="H7" s="422" t="s">
        <v>111</v>
      </c>
      <c r="I7" s="417">
        <v>200000</v>
      </c>
      <c r="J7" s="422" t="s">
        <v>111</v>
      </c>
      <c r="K7" s="422" t="s">
        <v>111</v>
      </c>
      <c r="L7" s="65">
        <f>+I7*D7</f>
        <v>200000</v>
      </c>
    </row>
    <row r="8" spans="1:12">
      <c r="B8" s="55" t="s">
        <v>344</v>
      </c>
      <c r="C8" s="418" t="s">
        <v>373</v>
      </c>
      <c r="D8" s="696">
        <v>1</v>
      </c>
      <c r="E8" s="422" t="s">
        <v>111</v>
      </c>
      <c r="F8" s="422" t="s">
        <v>111</v>
      </c>
      <c r="G8" s="422" t="s">
        <v>111</v>
      </c>
      <c r="H8" s="422" t="s">
        <v>111</v>
      </c>
      <c r="I8" s="417">
        <v>450000</v>
      </c>
      <c r="J8" s="422" t="s">
        <v>111</v>
      </c>
      <c r="K8" s="422" t="s">
        <v>111</v>
      </c>
      <c r="L8" s="65">
        <f>+I8*D8</f>
        <v>450000</v>
      </c>
    </row>
    <row r="9" spans="1:12">
      <c r="B9" s="55" t="s">
        <v>345</v>
      </c>
      <c r="C9" s="418" t="s">
        <v>346</v>
      </c>
      <c r="D9" s="696">
        <v>1</v>
      </c>
      <c r="E9" s="422" t="s">
        <v>111</v>
      </c>
      <c r="F9" s="422" t="s">
        <v>111</v>
      </c>
      <c r="G9" s="422" t="s">
        <v>111</v>
      </c>
      <c r="H9" s="422" t="s">
        <v>111</v>
      </c>
      <c r="I9" s="417">
        <v>300000</v>
      </c>
      <c r="J9" s="422" t="s">
        <v>111</v>
      </c>
      <c r="K9" s="422" t="s">
        <v>111</v>
      </c>
      <c r="L9" s="65">
        <f>+I9*D9</f>
        <v>300000</v>
      </c>
    </row>
    <row r="10" spans="1:12" ht="14.4" thickBot="1">
      <c r="B10" s="57" t="s">
        <v>347</v>
      </c>
      <c r="C10" s="423" t="s">
        <v>348</v>
      </c>
      <c r="D10" s="697">
        <v>1</v>
      </c>
      <c r="E10" s="424" t="s">
        <v>111</v>
      </c>
      <c r="F10" s="424" t="s">
        <v>111</v>
      </c>
      <c r="G10" s="424" t="s">
        <v>111</v>
      </c>
      <c r="H10" s="424" t="s">
        <v>111</v>
      </c>
      <c r="I10" s="420">
        <v>800000</v>
      </c>
      <c r="J10" s="424" t="s">
        <v>111</v>
      </c>
      <c r="K10" s="424" t="s">
        <v>111</v>
      </c>
      <c r="L10" s="415">
        <f>+I10*D10</f>
        <v>800000</v>
      </c>
    </row>
    <row r="11" spans="1:12" ht="14.4" thickBot="1">
      <c r="B11" s="712" t="s">
        <v>47</v>
      </c>
      <c r="C11" s="713"/>
      <c r="D11" s="714"/>
      <c r="E11" s="714"/>
      <c r="F11" s="714"/>
      <c r="G11" s="714"/>
      <c r="H11" s="714"/>
      <c r="I11" s="714"/>
      <c r="J11" s="714"/>
      <c r="K11" s="715"/>
      <c r="L11" s="716">
        <f>SUM(L6:L10)</f>
        <v>61750000</v>
      </c>
    </row>
    <row r="12" spans="1:12" ht="14.4" thickBot="1">
      <c r="D12" s="699"/>
      <c r="E12" s="700"/>
      <c r="F12" s="701"/>
      <c r="G12" s="701"/>
      <c r="H12" s="701"/>
      <c r="I12" s="702"/>
      <c r="J12" s="701"/>
      <c r="L12" s="702"/>
    </row>
    <row r="13" spans="1:12" s="693" customFormat="1" ht="27.75" customHeight="1">
      <c r="B13" s="717" t="s">
        <v>349</v>
      </c>
      <c r="C13" s="718" t="s">
        <v>333</v>
      </c>
      <c r="D13" s="719" t="s">
        <v>360</v>
      </c>
      <c r="E13" s="719" t="s">
        <v>334</v>
      </c>
      <c r="F13" s="719" t="s">
        <v>335</v>
      </c>
      <c r="G13" s="719" t="s">
        <v>336</v>
      </c>
      <c r="H13" s="719" t="s">
        <v>337</v>
      </c>
      <c r="I13" s="719" t="s">
        <v>338</v>
      </c>
      <c r="J13" s="719" t="s">
        <v>372</v>
      </c>
      <c r="K13" s="719" t="s">
        <v>339</v>
      </c>
      <c r="L13" s="720" t="s">
        <v>371</v>
      </c>
    </row>
    <row r="14" spans="1:12" ht="16.2">
      <c r="B14" s="55" t="s">
        <v>309</v>
      </c>
      <c r="C14" s="416"/>
      <c r="D14" s="696">
        <v>1</v>
      </c>
      <c r="E14" s="417">
        <v>70</v>
      </c>
      <c r="F14" s="417" t="s">
        <v>404</v>
      </c>
      <c r="G14" s="18">
        <v>50</v>
      </c>
      <c r="H14" s="417">
        <v>20000</v>
      </c>
      <c r="I14" s="18">
        <f t="shared" ref="I14:I31" si="0">+E14*H14*D14</f>
        <v>1400000</v>
      </c>
      <c r="J14" s="18">
        <f t="shared" ref="J14:J31" si="1">+I14*$D$2</f>
        <v>280000</v>
      </c>
      <c r="K14" s="18">
        <f t="shared" ref="K14:K31" si="2">+(I14-J14)/G14</f>
        <v>22400</v>
      </c>
      <c r="L14" s="65">
        <f>+(I14+J14)/2</f>
        <v>840000</v>
      </c>
    </row>
    <row r="15" spans="1:12">
      <c r="B15" s="55" t="s">
        <v>310</v>
      </c>
      <c r="C15" s="416"/>
      <c r="D15" s="696">
        <v>1</v>
      </c>
      <c r="E15" s="417">
        <v>98</v>
      </c>
      <c r="F15" s="417" t="s">
        <v>350</v>
      </c>
      <c r="G15" s="18">
        <v>50</v>
      </c>
      <c r="H15" s="417">
        <v>4500</v>
      </c>
      <c r="I15" s="18">
        <f t="shared" si="0"/>
        <v>441000</v>
      </c>
      <c r="J15" s="18">
        <f t="shared" si="1"/>
        <v>88200</v>
      </c>
      <c r="K15" s="18">
        <f t="shared" si="2"/>
        <v>7056</v>
      </c>
      <c r="L15" s="65">
        <f t="shared" ref="L15:L31" si="3">+(I15+J15)/2</f>
        <v>264600</v>
      </c>
    </row>
    <row r="16" spans="1:12">
      <c r="B16" s="55" t="s">
        <v>311</v>
      </c>
      <c r="C16" s="418" t="s">
        <v>312</v>
      </c>
      <c r="D16" s="696">
        <v>1</v>
      </c>
      <c r="E16" s="417">
        <v>40</v>
      </c>
      <c r="F16" s="417" t="s">
        <v>350</v>
      </c>
      <c r="G16" s="18">
        <v>50</v>
      </c>
      <c r="H16" s="417">
        <v>4500</v>
      </c>
      <c r="I16" s="18">
        <f t="shared" si="0"/>
        <v>180000</v>
      </c>
      <c r="J16" s="18">
        <f t="shared" si="1"/>
        <v>36000</v>
      </c>
      <c r="K16" s="18">
        <f t="shared" si="2"/>
        <v>2880</v>
      </c>
      <c r="L16" s="65">
        <f t="shared" si="3"/>
        <v>108000</v>
      </c>
    </row>
    <row r="17" spans="2:12">
      <c r="B17" s="55" t="s">
        <v>313</v>
      </c>
      <c r="C17" s="418" t="s">
        <v>314</v>
      </c>
      <c r="D17" s="696">
        <v>1</v>
      </c>
      <c r="E17" s="417">
        <v>1</v>
      </c>
      <c r="F17" s="417" t="s">
        <v>351</v>
      </c>
      <c r="G17" s="18">
        <v>30</v>
      </c>
      <c r="H17" s="417">
        <v>8400</v>
      </c>
      <c r="I17" s="18">
        <f t="shared" si="0"/>
        <v>8400</v>
      </c>
      <c r="J17" s="18">
        <f t="shared" si="1"/>
        <v>1680</v>
      </c>
      <c r="K17" s="18">
        <f t="shared" si="2"/>
        <v>224</v>
      </c>
      <c r="L17" s="65">
        <f t="shared" si="3"/>
        <v>5040</v>
      </c>
    </row>
    <row r="18" spans="2:12">
      <c r="B18" s="55" t="s">
        <v>307</v>
      </c>
      <c r="C18" s="418" t="s">
        <v>315</v>
      </c>
      <c r="D18" s="696">
        <v>1</v>
      </c>
      <c r="E18" s="417">
        <v>1</v>
      </c>
      <c r="F18" s="417" t="s">
        <v>351</v>
      </c>
      <c r="G18" s="18">
        <v>30</v>
      </c>
      <c r="H18" s="417">
        <v>786000</v>
      </c>
      <c r="I18" s="18">
        <f t="shared" si="0"/>
        <v>786000</v>
      </c>
      <c r="J18" s="18">
        <f t="shared" si="1"/>
        <v>157200</v>
      </c>
      <c r="K18" s="18">
        <f t="shared" si="2"/>
        <v>20960</v>
      </c>
      <c r="L18" s="65">
        <f t="shared" si="3"/>
        <v>471600</v>
      </c>
    </row>
    <row r="19" spans="2:12">
      <c r="B19" s="55" t="s">
        <v>316</v>
      </c>
      <c r="C19" s="418" t="s">
        <v>317</v>
      </c>
      <c r="D19" s="696">
        <v>1</v>
      </c>
      <c r="E19" s="417">
        <v>1</v>
      </c>
      <c r="F19" s="417" t="s">
        <v>351</v>
      </c>
      <c r="G19" s="18">
        <v>30</v>
      </c>
      <c r="H19" s="417">
        <v>78000</v>
      </c>
      <c r="I19" s="18">
        <f t="shared" si="0"/>
        <v>78000</v>
      </c>
      <c r="J19" s="18">
        <f t="shared" si="1"/>
        <v>15600</v>
      </c>
      <c r="K19" s="18">
        <f t="shared" si="2"/>
        <v>2080</v>
      </c>
      <c r="L19" s="65">
        <f t="shared" si="3"/>
        <v>46800</v>
      </c>
    </row>
    <row r="20" spans="2:12">
      <c r="B20" s="55" t="s">
        <v>318</v>
      </c>
      <c r="C20" s="418" t="s">
        <v>319</v>
      </c>
      <c r="D20" s="696">
        <v>1</v>
      </c>
      <c r="E20" s="417">
        <v>1</v>
      </c>
      <c r="F20" s="417" t="s">
        <v>351</v>
      </c>
      <c r="G20" s="18">
        <v>20</v>
      </c>
      <c r="H20" s="417">
        <v>55000</v>
      </c>
      <c r="I20" s="18">
        <f t="shared" si="0"/>
        <v>55000</v>
      </c>
      <c r="J20" s="18">
        <f t="shared" si="1"/>
        <v>11000</v>
      </c>
      <c r="K20" s="18">
        <f t="shared" si="2"/>
        <v>2200</v>
      </c>
      <c r="L20" s="65">
        <f t="shared" si="3"/>
        <v>33000</v>
      </c>
    </row>
    <row r="21" spans="2:12">
      <c r="B21" s="55" t="s">
        <v>320</v>
      </c>
      <c r="C21" s="418" t="s">
        <v>321</v>
      </c>
      <c r="D21" s="696">
        <v>1</v>
      </c>
      <c r="E21" s="417">
        <v>2</v>
      </c>
      <c r="F21" s="417" t="s">
        <v>351</v>
      </c>
      <c r="G21" s="18">
        <v>30</v>
      </c>
      <c r="H21" s="417">
        <v>8000</v>
      </c>
      <c r="I21" s="18">
        <f t="shared" si="0"/>
        <v>16000</v>
      </c>
      <c r="J21" s="18">
        <f t="shared" si="1"/>
        <v>3200</v>
      </c>
      <c r="K21" s="18">
        <f t="shared" si="2"/>
        <v>426.66666666666669</v>
      </c>
      <c r="L21" s="65">
        <f t="shared" si="3"/>
        <v>9600</v>
      </c>
    </row>
    <row r="22" spans="2:12">
      <c r="B22" s="55" t="s">
        <v>322</v>
      </c>
      <c r="C22" s="418" t="s">
        <v>323</v>
      </c>
      <c r="D22" s="696">
        <v>1</v>
      </c>
      <c r="E22" s="417">
        <v>14200</v>
      </c>
      <c r="F22" s="417" t="s">
        <v>403</v>
      </c>
      <c r="G22" s="18">
        <v>40</v>
      </c>
      <c r="H22" s="417">
        <v>100</v>
      </c>
      <c r="I22" s="18">
        <f t="shared" si="0"/>
        <v>1420000</v>
      </c>
      <c r="J22" s="18">
        <f t="shared" si="1"/>
        <v>284000</v>
      </c>
      <c r="K22" s="18">
        <f t="shared" si="2"/>
        <v>28400</v>
      </c>
      <c r="L22" s="65">
        <f t="shared" si="3"/>
        <v>852000</v>
      </c>
    </row>
    <row r="23" spans="2:12">
      <c r="B23" s="55" t="s">
        <v>324</v>
      </c>
      <c r="C23" s="418" t="s">
        <v>325</v>
      </c>
      <c r="D23" s="696">
        <v>1</v>
      </c>
      <c r="E23" s="417">
        <v>69282</v>
      </c>
      <c r="F23" s="417" t="s">
        <v>403</v>
      </c>
      <c r="G23" s="18">
        <v>40</v>
      </c>
      <c r="H23" s="417">
        <v>60</v>
      </c>
      <c r="I23" s="18">
        <f t="shared" si="0"/>
        <v>4156920</v>
      </c>
      <c r="J23" s="18">
        <f t="shared" si="1"/>
        <v>831384</v>
      </c>
      <c r="K23" s="18">
        <f t="shared" si="2"/>
        <v>83138.399999999994</v>
      </c>
      <c r="L23" s="65">
        <f t="shared" si="3"/>
        <v>2494152</v>
      </c>
    </row>
    <row r="24" spans="2:12">
      <c r="B24" s="55" t="s">
        <v>326</v>
      </c>
      <c r="C24" s="418" t="s">
        <v>327</v>
      </c>
      <c r="D24" s="696">
        <v>1</v>
      </c>
      <c r="E24" s="417">
        <v>2</v>
      </c>
      <c r="F24" s="417" t="s">
        <v>351</v>
      </c>
      <c r="G24" s="18">
        <v>40</v>
      </c>
      <c r="H24" s="417">
        <v>7500</v>
      </c>
      <c r="I24" s="18">
        <f t="shared" si="0"/>
        <v>15000</v>
      </c>
      <c r="J24" s="18">
        <f t="shared" si="1"/>
        <v>3000</v>
      </c>
      <c r="K24" s="18">
        <f t="shared" si="2"/>
        <v>300</v>
      </c>
      <c r="L24" s="65">
        <f t="shared" si="3"/>
        <v>9000</v>
      </c>
    </row>
    <row r="25" spans="2:12">
      <c r="B25" s="55" t="s">
        <v>328</v>
      </c>
      <c r="C25" s="418" t="s">
        <v>329</v>
      </c>
      <c r="D25" s="696">
        <v>1</v>
      </c>
      <c r="E25" s="417">
        <v>2</v>
      </c>
      <c r="F25" s="417" t="s">
        <v>351</v>
      </c>
      <c r="G25" s="18">
        <v>15</v>
      </c>
      <c r="H25" s="417">
        <v>11000</v>
      </c>
      <c r="I25" s="18">
        <f t="shared" si="0"/>
        <v>22000</v>
      </c>
      <c r="J25" s="18">
        <f t="shared" si="1"/>
        <v>4400</v>
      </c>
      <c r="K25" s="18">
        <f t="shared" si="2"/>
        <v>1173.3333333333333</v>
      </c>
      <c r="L25" s="65">
        <f t="shared" si="3"/>
        <v>13200</v>
      </c>
    </row>
    <row r="26" spans="2:12">
      <c r="B26" s="55"/>
      <c r="C26" s="416"/>
      <c r="D26" s="696">
        <v>1</v>
      </c>
      <c r="E26" s="417"/>
      <c r="F26" s="417"/>
      <c r="G26" s="18">
        <v>20</v>
      </c>
      <c r="H26" s="417"/>
      <c r="I26" s="18">
        <f t="shared" si="0"/>
        <v>0</v>
      </c>
      <c r="J26" s="18">
        <f t="shared" si="1"/>
        <v>0</v>
      </c>
      <c r="K26" s="18">
        <f t="shared" si="2"/>
        <v>0</v>
      </c>
      <c r="L26" s="65">
        <f t="shared" si="3"/>
        <v>0</v>
      </c>
    </row>
    <row r="27" spans="2:12">
      <c r="B27" s="55"/>
      <c r="C27" s="416"/>
      <c r="D27" s="696">
        <v>1</v>
      </c>
      <c r="E27" s="417"/>
      <c r="F27" s="417"/>
      <c r="G27" s="18">
        <v>20</v>
      </c>
      <c r="H27" s="417"/>
      <c r="I27" s="18">
        <f t="shared" si="0"/>
        <v>0</v>
      </c>
      <c r="J27" s="18">
        <f t="shared" si="1"/>
        <v>0</v>
      </c>
      <c r="K27" s="18">
        <f t="shared" si="2"/>
        <v>0</v>
      </c>
      <c r="L27" s="65">
        <f t="shared" si="3"/>
        <v>0</v>
      </c>
    </row>
    <row r="28" spans="2:12">
      <c r="B28" s="55"/>
      <c r="C28" s="416"/>
      <c r="D28" s="696">
        <v>1</v>
      </c>
      <c r="E28" s="417"/>
      <c r="F28" s="417"/>
      <c r="G28" s="18">
        <v>20</v>
      </c>
      <c r="H28" s="417"/>
      <c r="I28" s="18">
        <f t="shared" si="0"/>
        <v>0</v>
      </c>
      <c r="J28" s="18">
        <f t="shared" si="1"/>
        <v>0</v>
      </c>
      <c r="K28" s="18">
        <f t="shared" si="2"/>
        <v>0</v>
      </c>
      <c r="L28" s="65">
        <f t="shared" si="3"/>
        <v>0</v>
      </c>
    </row>
    <row r="29" spans="2:12">
      <c r="B29" s="55"/>
      <c r="C29" s="416"/>
      <c r="D29" s="696">
        <v>1</v>
      </c>
      <c r="E29" s="417"/>
      <c r="F29" s="417"/>
      <c r="G29" s="18">
        <v>20</v>
      </c>
      <c r="H29" s="417"/>
      <c r="I29" s="18">
        <f t="shared" si="0"/>
        <v>0</v>
      </c>
      <c r="J29" s="18">
        <f t="shared" si="1"/>
        <v>0</v>
      </c>
      <c r="K29" s="18">
        <f t="shared" si="2"/>
        <v>0</v>
      </c>
      <c r="L29" s="65">
        <f t="shared" si="3"/>
        <v>0</v>
      </c>
    </row>
    <row r="30" spans="2:12">
      <c r="B30" s="55"/>
      <c r="C30" s="416"/>
      <c r="D30" s="696">
        <v>1</v>
      </c>
      <c r="E30" s="417"/>
      <c r="F30" s="417"/>
      <c r="G30" s="18">
        <v>20</v>
      </c>
      <c r="H30" s="417"/>
      <c r="I30" s="18">
        <f t="shared" si="0"/>
        <v>0</v>
      </c>
      <c r="J30" s="18">
        <f t="shared" si="1"/>
        <v>0</v>
      </c>
      <c r="K30" s="18">
        <f t="shared" si="2"/>
        <v>0</v>
      </c>
      <c r="L30" s="65">
        <f t="shared" si="3"/>
        <v>0</v>
      </c>
    </row>
    <row r="31" spans="2:12" ht="14.4" thickBot="1">
      <c r="B31" s="57"/>
      <c r="C31" s="419"/>
      <c r="D31" s="697">
        <v>1</v>
      </c>
      <c r="E31" s="420"/>
      <c r="F31" s="420"/>
      <c r="G31" s="58">
        <v>20</v>
      </c>
      <c r="H31" s="420"/>
      <c r="I31" s="58">
        <f t="shared" si="0"/>
        <v>0</v>
      </c>
      <c r="J31" s="58">
        <f t="shared" si="1"/>
        <v>0</v>
      </c>
      <c r="K31" s="58">
        <f t="shared" si="2"/>
        <v>0</v>
      </c>
      <c r="L31" s="415">
        <f t="shared" si="3"/>
        <v>0</v>
      </c>
    </row>
    <row r="32" spans="2:12" ht="14.4" thickBot="1">
      <c r="B32" s="721" t="s">
        <v>47</v>
      </c>
      <c r="C32" s="722"/>
      <c r="D32" s="607"/>
      <c r="E32" s="607"/>
      <c r="F32" s="607"/>
      <c r="G32" s="607"/>
      <c r="H32" s="607"/>
      <c r="I32" s="607"/>
      <c r="J32" s="608"/>
      <c r="K32" s="716">
        <f>SUM(K14:K31)</f>
        <v>171238.39999999999</v>
      </c>
      <c r="L32" s="716">
        <f>SUM(L14:L31)</f>
        <v>5146992</v>
      </c>
    </row>
    <row r="33" spans="2:13" ht="15" thickBot="1">
      <c r="B33" s="518"/>
      <c r="C33" s="518"/>
      <c r="D33" s="518"/>
      <c r="E33" s="518"/>
      <c r="F33" s="518"/>
      <c r="G33" s="518"/>
      <c r="H33" s="518"/>
      <c r="I33" s="518"/>
      <c r="J33" s="518"/>
      <c r="K33" s="518"/>
      <c r="L33" s="518"/>
    </row>
    <row r="34" spans="2:13" ht="27.6">
      <c r="B34" s="854" t="s">
        <v>352</v>
      </c>
      <c r="C34" s="855"/>
      <c r="D34" s="856"/>
      <c r="E34" s="719" t="s">
        <v>334</v>
      </c>
      <c r="F34" s="719" t="s">
        <v>335</v>
      </c>
      <c r="G34" s="719" t="s">
        <v>336</v>
      </c>
      <c r="H34" s="719" t="s">
        <v>337</v>
      </c>
      <c r="I34" s="719" t="s">
        <v>338</v>
      </c>
      <c r="J34" s="719" t="s">
        <v>372</v>
      </c>
      <c r="K34" s="719" t="s">
        <v>339</v>
      </c>
      <c r="L34" s="720" t="s">
        <v>371</v>
      </c>
    </row>
    <row r="35" spans="2:13">
      <c r="B35" s="583" t="str">
        <f>+'8.Forrajes'!B5</f>
        <v>PASTURA BASE FESTUCA</v>
      </c>
      <c r="C35" s="432"/>
      <c r="D35" s="435"/>
      <c r="E35" s="18">
        <f>+'8.Forrajes'!D5</f>
        <v>20</v>
      </c>
      <c r="F35" s="18" t="s">
        <v>341</v>
      </c>
      <c r="G35" s="18">
        <f>+'8.Forrajes'!F25</f>
        <v>4</v>
      </c>
      <c r="H35" s="18">
        <f>+'8.Forrajes'!F24</f>
        <v>29301</v>
      </c>
      <c r="I35" s="723">
        <f>+H35*E35</f>
        <v>586020</v>
      </c>
      <c r="J35" s="18">
        <v>0</v>
      </c>
      <c r="K35" s="18">
        <f>+(I35-J35)/G35</f>
        <v>146505</v>
      </c>
      <c r="L35" s="65">
        <f>+I35/2</f>
        <v>293010</v>
      </c>
    </row>
    <row r="36" spans="2:13">
      <c r="B36" s="583" t="str">
        <f>+'8.Forrajes'!B28</f>
        <v>PASTURA BASE AGROPIRO</v>
      </c>
      <c r="C36" s="432"/>
      <c r="D36" s="435"/>
      <c r="E36" s="18">
        <f>+'8.Forrajes'!D28</f>
        <v>22</v>
      </c>
      <c r="F36" s="18" t="s">
        <v>341</v>
      </c>
      <c r="G36" s="18">
        <f>+'8.Forrajes'!F48</f>
        <v>4</v>
      </c>
      <c r="H36" s="18">
        <f>+'8.Forrajes'!F47</f>
        <v>25386</v>
      </c>
      <c r="I36" s="723">
        <f t="shared" ref="I36:I40" si="4">+H36*E36</f>
        <v>558492</v>
      </c>
      <c r="J36" s="18">
        <v>0</v>
      </c>
      <c r="K36" s="18">
        <f t="shared" ref="K36:K40" si="5">+(I36-J36)/G36</f>
        <v>139623</v>
      </c>
      <c r="L36" s="65">
        <f t="shared" ref="L36:L40" si="6">+I36/2</f>
        <v>279246</v>
      </c>
    </row>
    <row r="37" spans="2:13">
      <c r="B37" s="583" t="str">
        <f>+'8.Forrajes'!B51</f>
        <v>PASTURA BASE ALFALFA</v>
      </c>
      <c r="C37" s="432"/>
      <c r="D37" s="435"/>
      <c r="E37" s="18">
        <f>+'8.Forrajes'!D51</f>
        <v>18</v>
      </c>
      <c r="F37" s="18" t="s">
        <v>341</v>
      </c>
      <c r="G37" s="18">
        <f>+'8.Forrajes'!F71</f>
        <v>4</v>
      </c>
      <c r="H37" s="18">
        <f>+'8.Forrajes'!F70</f>
        <v>25050</v>
      </c>
      <c r="I37" s="723">
        <f t="shared" si="4"/>
        <v>450900</v>
      </c>
      <c r="J37" s="18">
        <v>0</v>
      </c>
      <c r="K37" s="18">
        <f t="shared" si="5"/>
        <v>112725</v>
      </c>
      <c r="L37" s="65">
        <f t="shared" si="6"/>
        <v>225450</v>
      </c>
    </row>
    <row r="38" spans="2:13">
      <c r="B38" s="583" t="str">
        <f>+'8.Forrajes'!B74</f>
        <v>PASTURA BASE ALFALFA</v>
      </c>
      <c r="C38" s="432"/>
      <c r="D38" s="435"/>
      <c r="E38" s="18">
        <f>+'8.Forrajes'!D74</f>
        <v>18</v>
      </c>
      <c r="F38" s="18" t="s">
        <v>341</v>
      </c>
      <c r="G38" s="18">
        <f>+'8.Forrajes'!F94</f>
        <v>4</v>
      </c>
      <c r="H38" s="18">
        <f>+'8.Forrajes'!F93</f>
        <v>25050</v>
      </c>
      <c r="I38" s="723">
        <f t="shared" si="4"/>
        <v>450900</v>
      </c>
      <c r="J38" s="18">
        <v>0</v>
      </c>
      <c r="K38" s="18">
        <f t="shared" si="5"/>
        <v>112725</v>
      </c>
      <c r="L38" s="65">
        <f t="shared" si="6"/>
        <v>225450</v>
      </c>
    </row>
    <row r="39" spans="2:13">
      <c r="B39" s="583"/>
      <c r="C39" s="432"/>
      <c r="D39" s="435"/>
      <c r="E39" s="18"/>
      <c r="F39" s="18"/>
      <c r="G39" s="18">
        <v>4</v>
      </c>
      <c r="H39" s="18"/>
      <c r="I39" s="723">
        <f t="shared" si="4"/>
        <v>0</v>
      </c>
      <c r="J39" s="18">
        <f>I39*0.2</f>
        <v>0</v>
      </c>
      <c r="K39" s="18">
        <f t="shared" si="5"/>
        <v>0</v>
      </c>
      <c r="L39" s="65">
        <f t="shared" si="6"/>
        <v>0</v>
      </c>
    </row>
    <row r="40" spans="2:13" ht="14.4" thickBot="1">
      <c r="B40" s="583"/>
      <c r="C40" s="432"/>
      <c r="D40" s="435"/>
      <c r="E40" s="18"/>
      <c r="F40" s="18"/>
      <c r="G40" s="18">
        <v>4</v>
      </c>
      <c r="H40" s="18"/>
      <c r="I40" s="723">
        <f t="shared" si="4"/>
        <v>0</v>
      </c>
      <c r="J40" s="18">
        <f>I40*0.2</f>
        <v>0</v>
      </c>
      <c r="K40" s="18">
        <f t="shared" si="5"/>
        <v>0</v>
      </c>
      <c r="L40" s="65">
        <f t="shared" si="6"/>
        <v>0</v>
      </c>
    </row>
    <row r="41" spans="2:13" ht="28.5" customHeight="1">
      <c r="B41" s="857" t="s">
        <v>353</v>
      </c>
      <c r="C41" s="858"/>
      <c r="D41" s="427"/>
      <c r="E41" s="719" t="s">
        <v>334</v>
      </c>
      <c r="F41" s="719" t="s">
        <v>335</v>
      </c>
      <c r="G41" s="719" t="s">
        <v>336</v>
      </c>
      <c r="H41" s="719" t="s">
        <v>337</v>
      </c>
      <c r="I41" s="719" t="s">
        <v>338</v>
      </c>
      <c r="J41" s="719" t="s">
        <v>372</v>
      </c>
      <c r="K41" s="719" t="s">
        <v>339</v>
      </c>
      <c r="L41" s="720" t="s">
        <v>371</v>
      </c>
      <c r="M41" s="720" t="s">
        <v>667</v>
      </c>
    </row>
    <row r="42" spans="2:13">
      <c r="B42" s="55" t="str">
        <f>+'8.Forrajes'!I5</f>
        <v>PASTURA BASE Alfalfa</v>
      </c>
      <c r="C42" s="433" t="s">
        <v>354</v>
      </c>
      <c r="D42" s="435"/>
      <c r="E42" s="18">
        <f>+'8.Forrajes'!K5</f>
        <v>20</v>
      </c>
      <c r="F42" s="18" t="s">
        <v>341</v>
      </c>
      <c r="G42" s="18"/>
      <c r="H42" s="18"/>
      <c r="I42" s="18">
        <f>+'8.Forrajes'!M24*E42</f>
        <v>554600</v>
      </c>
      <c r="J42" s="18">
        <v>0</v>
      </c>
      <c r="K42" s="18"/>
      <c r="L42" s="18"/>
      <c r="M42" s="65">
        <f>+I42</f>
        <v>554600</v>
      </c>
    </row>
    <row r="43" spans="2:13">
      <c r="B43" s="55" t="str">
        <f>+'8.Forrajes'!I28</f>
        <v>PASTURA BASE Cebadilla</v>
      </c>
      <c r="C43" s="433" t="s">
        <v>354</v>
      </c>
      <c r="D43" s="435"/>
      <c r="E43" s="18">
        <f>+'8.Forrajes'!K28</f>
        <v>10</v>
      </c>
      <c r="F43" s="18" t="s">
        <v>341</v>
      </c>
      <c r="G43" s="18"/>
      <c r="H43" s="18"/>
      <c r="I43" s="18">
        <f>+'8.Forrajes'!M47*E43</f>
        <v>285260</v>
      </c>
      <c r="J43" s="18">
        <v>0</v>
      </c>
      <c r="K43" s="18"/>
      <c r="L43" s="18"/>
      <c r="M43" s="65">
        <f>+I43</f>
        <v>285260</v>
      </c>
    </row>
    <row r="44" spans="2:13">
      <c r="B44" s="55" t="str">
        <f>+'8.Forrajes'!I51</f>
        <v>PASTURA BASE FESTUCA</v>
      </c>
      <c r="C44" s="433" t="s">
        <v>354</v>
      </c>
      <c r="D44" s="435"/>
      <c r="E44" s="18">
        <f>+'8.Forrajes'!K51</f>
        <v>4</v>
      </c>
      <c r="F44" s="18" t="s">
        <v>341</v>
      </c>
      <c r="G44" s="18"/>
      <c r="H44" s="18"/>
      <c r="I44" s="18">
        <f>+'8.Forrajes'!M70*E44</f>
        <v>114104</v>
      </c>
      <c r="J44" s="18">
        <v>0</v>
      </c>
      <c r="K44" s="18"/>
      <c r="L44" s="18"/>
      <c r="M44" s="65">
        <f>+I44</f>
        <v>114104</v>
      </c>
    </row>
    <row r="45" spans="2:13" ht="14.4" thickBot="1">
      <c r="B45" s="57"/>
      <c r="C45" s="434"/>
      <c r="D45" s="436"/>
      <c r="E45" s="58"/>
      <c r="F45" s="58"/>
      <c r="G45" s="58"/>
      <c r="H45" s="58"/>
      <c r="I45" s="58"/>
      <c r="J45" s="18">
        <v>0</v>
      </c>
      <c r="K45" s="18"/>
      <c r="L45" s="18"/>
      <c r="M45" s="415">
        <f>+I45</f>
        <v>0</v>
      </c>
    </row>
    <row r="46" spans="2:13" ht="14.4" thickBot="1">
      <c r="B46" s="721" t="s">
        <v>47</v>
      </c>
      <c r="C46" s="724"/>
      <c r="D46" s="607"/>
      <c r="E46" s="607"/>
      <c r="F46" s="607"/>
      <c r="G46" s="607"/>
      <c r="H46" s="607"/>
      <c r="I46" s="725">
        <f>SUM(I42:I45)</f>
        <v>953964</v>
      </c>
      <c r="J46" s="607"/>
      <c r="K46" s="726">
        <f>SUM(K35:K40)</f>
        <v>511578</v>
      </c>
      <c r="L46" s="715">
        <f>SUM(L35:L45)</f>
        <v>1023156</v>
      </c>
    </row>
    <row r="47" spans="2:13" ht="14.4" thickBot="1">
      <c r="D47" s="699"/>
      <c r="E47" s="701"/>
      <c r="F47" s="701"/>
      <c r="G47" s="701"/>
      <c r="H47" s="701"/>
      <c r="I47" s="702"/>
      <c r="J47" s="702"/>
      <c r="L47" s="703"/>
    </row>
    <row r="48" spans="2:13" s="693" customFormat="1" ht="27.75" customHeight="1" thickBot="1">
      <c r="B48" s="728" t="s">
        <v>620</v>
      </c>
      <c r="C48" s="710" t="s">
        <v>333</v>
      </c>
      <c r="D48" s="709" t="s">
        <v>621</v>
      </c>
      <c r="E48" s="709" t="s">
        <v>334</v>
      </c>
      <c r="F48" s="709" t="s">
        <v>335</v>
      </c>
      <c r="G48" s="709" t="s">
        <v>336</v>
      </c>
      <c r="H48" s="709" t="s">
        <v>337</v>
      </c>
      <c r="I48" s="709" t="s">
        <v>338</v>
      </c>
      <c r="J48" s="709" t="s">
        <v>372</v>
      </c>
      <c r="K48" s="709" t="s">
        <v>339</v>
      </c>
      <c r="L48" s="711" t="s">
        <v>371</v>
      </c>
    </row>
    <row r="49" spans="2:13" s="693" customFormat="1" ht="14.4" thickBot="1">
      <c r="B49" s="514" t="s">
        <v>640</v>
      </c>
      <c r="C49" s="7" t="s">
        <v>641</v>
      </c>
      <c r="D49" s="696">
        <v>0.5</v>
      </c>
      <c r="E49" s="4">
        <v>1</v>
      </c>
      <c r="F49" s="4" t="s">
        <v>306</v>
      </c>
      <c r="G49" s="4">
        <v>15</v>
      </c>
      <c r="H49" s="4">
        <v>7520000</v>
      </c>
      <c r="I49" s="2">
        <f t="shared" ref="I49:I58" si="7">+E49*H49*D49</f>
        <v>3760000</v>
      </c>
      <c r="J49" s="2">
        <f t="shared" ref="J49:J58" si="8">+I49*$D$3</f>
        <v>940000</v>
      </c>
      <c r="K49" s="2">
        <f>+(I49-J49)/G49</f>
        <v>188000</v>
      </c>
      <c r="L49" s="2">
        <f>(I49+J49)/2</f>
        <v>2350000</v>
      </c>
    </row>
    <row r="50" spans="2:13" s="693" customFormat="1" ht="14.4" thickBot="1">
      <c r="B50" s="514" t="s">
        <v>642</v>
      </c>
      <c r="C50" s="7" t="s">
        <v>643</v>
      </c>
      <c r="D50" s="696">
        <v>0.5</v>
      </c>
      <c r="E50" s="4">
        <v>1</v>
      </c>
      <c r="F50" s="4" t="s">
        <v>306</v>
      </c>
      <c r="G50" s="4">
        <v>15</v>
      </c>
      <c r="H50" s="4">
        <v>2850000</v>
      </c>
      <c r="I50" s="2">
        <f t="shared" si="7"/>
        <v>1425000</v>
      </c>
      <c r="J50" s="2">
        <f t="shared" si="8"/>
        <v>356250</v>
      </c>
      <c r="K50" s="2">
        <f t="shared" ref="K50:K52" si="9">+(I50-J50)/G50</f>
        <v>71250</v>
      </c>
      <c r="L50" s="2">
        <f t="shared" ref="L50:L58" si="10">(I50+J50)/2</f>
        <v>890625</v>
      </c>
    </row>
    <row r="51" spans="2:13" s="693" customFormat="1" ht="14.4" thickBot="1">
      <c r="B51" s="514" t="s">
        <v>308</v>
      </c>
      <c r="C51" s="7" t="s">
        <v>644</v>
      </c>
      <c r="D51" s="696">
        <v>0.5</v>
      </c>
      <c r="E51" s="4">
        <v>1</v>
      </c>
      <c r="F51" s="4" t="s">
        <v>306</v>
      </c>
      <c r="G51" s="4">
        <v>10</v>
      </c>
      <c r="H51" s="4">
        <v>4000000</v>
      </c>
      <c r="I51" s="2">
        <f t="shared" si="7"/>
        <v>2000000</v>
      </c>
      <c r="J51" s="2">
        <f t="shared" si="8"/>
        <v>500000</v>
      </c>
      <c r="K51" s="2">
        <f t="shared" si="9"/>
        <v>150000</v>
      </c>
      <c r="L51" s="2">
        <f t="shared" si="10"/>
        <v>1250000</v>
      </c>
    </row>
    <row r="52" spans="2:13" s="693" customFormat="1" ht="14.4" thickBot="1">
      <c r="B52" s="514" t="s">
        <v>405</v>
      </c>
      <c r="C52" s="7" t="s">
        <v>355</v>
      </c>
      <c r="D52" s="696">
        <v>0.5</v>
      </c>
      <c r="E52" s="4">
        <v>1</v>
      </c>
      <c r="F52" s="4" t="s">
        <v>306</v>
      </c>
      <c r="G52" s="4">
        <v>15</v>
      </c>
      <c r="H52" s="4">
        <v>1350000</v>
      </c>
      <c r="I52" s="2">
        <f t="shared" si="7"/>
        <v>675000</v>
      </c>
      <c r="J52" s="2">
        <f t="shared" si="8"/>
        <v>168750</v>
      </c>
      <c r="K52" s="2">
        <f t="shared" si="9"/>
        <v>33750</v>
      </c>
      <c r="L52" s="2">
        <f t="shared" si="10"/>
        <v>421875</v>
      </c>
    </row>
    <row r="53" spans="2:13" s="693" customFormat="1" ht="14.4" thickBot="1">
      <c r="B53" s="514" t="s">
        <v>646</v>
      </c>
      <c r="C53" s="7"/>
      <c r="D53" s="696">
        <v>0.5</v>
      </c>
      <c r="E53" s="4">
        <v>1</v>
      </c>
      <c r="F53" s="4" t="s">
        <v>306</v>
      </c>
      <c r="G53" s="4">
        <v>15</v>
      </c>
      <c r="H53" s="4">
        <v>560000</v>
      </c>
      <c r="I53" s="2">
        <f t="shared" si="7"/>
        <v>280000</v>
      </c>
      <c r="J53" s="2">
        <f t="shared" si="8"/>
        <v>70000</v>
      </c>
      <c r="K53" s="2">
        <f t="shared" ref="K53:K58" si="11">+(I53-J53)/G53</f>
        <v>14000</v>
      </c>
      <c r="L53" s="2">
        <f t="shared" si="10"/>
        <v>175000</v>
      </c>
    </row>
    <row r="54" spans="2:13" s="693" customFormat="1" ht="14.4" thickBot="1">
      <c r="B54" s="514" t="s">
        <v>356</v>
      </c>
      <c r="C54" s="7" t="s">
        <v>645</v>
      </c>
      <c r="D54" s="696">
        <v>0.5</v>
      </c>
      <c r="E54" s="4">
        <v>1</v>
      </c>
      <c r="F54" s="4" t="s">
        <v>306</v>
      </c>
      <c r="G54" s="4">
        <v>15</v>
      </c>
      <c r="H54" s="4">
        <v>4450000</v>
      </c>
      <c r="I54" s="2">
        <f t="shared" si="7"/>
        <v>2225000</v>
      </c>
      <c r="J54" s="2">
        <f t="shared" si="8"/>
        <v>556250</v>
      </c>
      <c r="K54" s="2">
        <f t="shared" si="11"/>
        <v>111250</v>
      </c>
      <c r="L54" s="2">
        <f t="shared" si="10"/>
        <v>1390625</v>
      </c>
    </row>
    <row r="55" spans="2:13" ht="14.4" thickBot="1">
      <c r="B55" s="514" t="s">
        <v>406</v>
      </c>
      <c r="C55" s="3"/>
      <c r="D55" s="696">
        <v>1</v>
      </c>
      <c r="E55" s="4">
        <v>1</v>
      </c>
      <c r="F55" s="4" t="s">
        <v>306</v>
      </c>
      <c r="G55" s="4">
        <v>15</v>
      </c>
      <c r="H55" s="4">
        <v>780000</v>
      </c>
      <c r="I55" s="2">
        <f t="shared" si="7"/>
        <v>780000</v>
      </c>
      <c r="J55" s="2">
        <f t="shared" si="8"/>
        <v>195000</v>
      </c>
      <c r="K55" s="2">
        <f t="shared" si="11"/>
        <v>39000</v>
      </c>
      <c r="L55" s="2">
        <f t="shared" si="10"/>
        <v>487500</v>
      </c>
    </row>
    <row r="56" spans="2:13" ht="14.4" thickBot="1">
      <c r="B56" s="514"/>
      <c r="C56" s="3"/>
      <c r="D56" s="696"/>
      <c r="E56" s="4"/>
      <c r="F56" s="4"/>
      <c r="G56" s="4">
        <v>15</v>
      </c>
      <c r="H56" s="4"/>
      <c r="I56" s="2">
        <f t="shared" si="7"/>
        <v>0</v>
      </c>
      <c r="J56" s="2">
        <f t="shared" si="8"/>
        <v>0</v>
      </c>
      <c r="K56" s="2">
        <f t="shared" si="11"/>
        <v>0</v>
      </c>
      <c r="L56" s="2">
        <f t="shared" si="10"/>
        <v>0</v>
      </c>
    </row>
    <row r="57" spans="2:13" ht="14.4" thickBot="1">
      <c r="B57" s="514"/>
      <c r="C57" s="3"/>
      <c r="D57" s="696"/>
      <c r="E57" s="4"/>
      <c r="F57" s="4"/>
      <c r="G57" s="4">
        <v>15</v>
      </c>
      <c r="H57" s="4"/>
      <c r="I57" s="2">
        <f t="shared" si="7"/>
        <v>0</v>
      </c>
      <c r="J57" s="2">
        <f t="shared" si="8"/>
        <v>0</v>
      </c>
      <c r="K57" s="2">
        <f t="shared" si="11"/>
        <v>0</v>
      </c>
      <c r="L57" s="2">
        <f t="shared" si="10"/>
        <v>0</v>
      </c>
    </row>
    <row r="58" spans="2:13" ht="14.4" thickBot="1">
      <c r="B58" s="514"/>
      <c r="C58" s="3"/>
      <c r="D58" s="696"/>
      <c r="E58" s="4"/>
      <c r="F58" s="4"/>
      <c r="G58" s="4">
        <v>15</v>
      </c>
      <c r="H58" s="4"/>
      <c r="I58" s="704">
        <f t="shared" si="7"/>
        <v>0</v>
      </c>
      <c r="J58" s="704">
        <f t="shared" si="8"/>
        <v>0</v>
      </c>
      <c r="K58" s="704">
        <f t="shared" si="11"/>
        <v>0</v>
      </c>
      <c r="L58" s="704">
        <f t="shared" si="10"/>
        <v>0</v>
      </c>
    </row>
    <row r="59" spans="2:13" ht="14.4" thickBot="1">
      <c r="B59" s="721" t="s">
        <v>364</v>
      </c>
      <c r="C59" s="727"/>
      <c r="D59" s="721"/>
      <c r="E59" s="721"/>
      <c r="F59" s="721"/>
      <c r="G59" s="721"/>
      <c r="H59" s="721"/>
      <c r="I59" s="721"/>
      <c r="J59" s="721"/>
      <c r="K59" s="716">
        <f t="shared" ref="K59:L59" si="12">SUM(K49:K58)</f>
        <v>607250</v>
      </c>
      <c r="L59" s="716">
        <f t="shared" si="12"/>
        <v>6965625</v>
      </c>
      <c r="M59" s="705"/>
    </row>
    <row r="60" spans="2:13" ht="14.4" thickBot="1">
      <c r="D60" s="699"/>
      <c r="E60" s="701"/>
      <c r="F60" s="701"/>
      <c r="G60" s="701"/>
      <c r="H60" s="701"/>
      <c r="I60" s="701"/>
      <c r="J60" s="701"/>
      <c r="L60" s="701"/>
    </row>
    <row r="61" spans="2:13" ht="26.25" customHeight="1">
      <c r="B61" s="729"/>
      <c r="C61" s="730" t="s">
        <v>369</v>
      </c>
      <c r="D61" s="859" t="s">
        <v>370</v>
      </c>
      <c r="E61" s="860"/>
    </row>
    <row r="62" spans="2:13" ht="18">
      <c r="B62" s="428" t="s">
        <v>366</v>
      </c>
      <c r="C62" s="429">
        <f>+L11</f>
        <v>61750000</v>
      </c>
      <c r="D62" s="847"/>
      <c r="E62" s="848"/>
    </row>
    <row r="63" spans="2:13" ht="18">
      <c r="B63" s="428" t="s">
        <v>349</v>
      </c>
      <c r="C63" s="429">
        <f>+L32</f>
        <v>5146992</v>
      </c>
      <c r="D63" s="847">
        <f>+K32</f>
        <v>171238.39999999999</v>
      </c>
      <c r="E63" s="848"/>
    </row>
    <row r="64" spans="2:13" ht="18">
      <c r="B64" s="428" t="s">
        <v>237</v>
      </c>
      <c r="C64" s="429">
        <f>+L46</f>
        <v>1023156</v>
      </c>
      <c r="D64" s="847">
        <f>+K46</f>
        <v>511578</v>
      </c>
      <c r="E64" s="848"/>
    </row>
    <row r="65" spans="2:5" ht="18">
      <c r="B65" s="428" t="s">
        <v>367</v>
      </c>
      <c r="C65" s="429">
        <f>+L59</f>
        <v>6965625</v>
      </c>
      <c r="D65" s="847">
        <f>+K59</f>
        <v>607250</v>
      </c>
      <c r="E65" s="848"/>
    </row>
    <row r="66" spans="2:5" ht="18">
      <c r="B66" s="428" t="s">
        <v>368</v>
      </c>
      <c r="C66" s="429">
        <f>+'2.Invent'!G23</f>
        <v>16531000</v>
      </c>
      <c r="D66" s="847"/>
      <c r="E66" s="848"/>
    </row>
    <row r="67" spans="2:5" ht="18">
      <c r="B67" s="428" t="s">
        <v>420</v>
      </c>
      <c r="C67" s="429">
        <f>+('12.Resultados'!B8+'12.Resultados'!B11)/2</f>
        <v>3276057.3033455852</v>
      </c>
      <c r="D67" s="847"/>
      <c r="E67" s="848"/>
    </row>
    <row r="68" spans="2:5" ht="18.600000000000001" thickBot="1">
      <c r="B68" s="430"/>
      <c r="C68" s="431">
        <f>SUM(C62:C67)</f>
        <v>94692830.303345591</v>
      </c>
      <c r="D68" s="849">
        <f>SUM(D63:E66)</f>
        <v>1290066.3999999999</v>
      </c>
      <c r="E68" s="850"/>
    </row>
    <row r="82" spans="2:2" ht="15.6">
      <c r="B82" s="706" t="s">
        <v>419</v>
      </c>
    </row>
    <row r="83" spans="2:2">
      <c r="B83" s="690" t="s">
        <v>655</v>
      </c>
    </row>
    <row r="84" spans="2:2">
      <c r="B84" s="690" t="s">
        <v>418</v>
      </c>
    </row>
    <row r="85" spans="2:2">
      <c r="B85" s="690" t="s">
        <v>421</v>
      </c>
    </row>
    <row r="86" spans="2:2">
      <c r="B86" s="690" t="s">
        <v>422</v>
      </c>
    </row>
    <row r="87" spans="2:2">
      <c r="B87" s="690" t="s">
        <v>488</v>
      </c>
    </row>
    <row r="88" spans="2:2">
      <c r="B88" s="690" t="s">
        <v>489</v>
      </c>
    </row>
    <row r="89" spans="2:2">
      <c r="B89" s="690" t="s">
        <v>490</v>
      </c>
    </row>
  </sheetData>
  <sheetProtection algorithmName="SHA-512" hashValue="OJaZwBTxVyZfl6zqKo0BzCA2KRgleyYTrohyUJU6q6/dI8yXNs4bw0UkP+LIYgxr0qe/bcvDZramZ1dc03p2Jw==" saltValue="1JZ6cAhwfVgoKkhggcpEfg==" spinCount="100000" sheet="1" objects="1" scenarios="1"/>
  <mergeCells count="14">
    <mergeCell ref="B1:B3"/>
    <mergeCell ref="C1:C3"/>
    <mergeCell ref="B34:D34"/>
    <mergeCell ref="B41:C41"/>
    <mergeCell ref="D61:E61"/>
    <mergeCell ref="D1:H1"/>
    <mergeCell ref="H4:I4"/>
    <mergeCell ref="D63:E63"/>
    <mergeCell ref="D64:E64"/>
    <mergeCell ref="D65:E65"/>
    <mergeCell ref="D62:E62"/>
    <mergeCell ref="D68:E68"/>
    <mergeCell ref="D66:E66"/>
    <mergeCell ref="D67:E67"/>
  </mergeCells>
  <pageMargins left="0.7" right="0.7" top="0.75" bottom="0.75" header="0.3" footer="0.3"/>
  <pageSetup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69"/>
  <sheetViews>
    <sheetView showGridLines="0" topLeftCell="A58" zoomScale="80" zoomScaleNormal="80" workbookViewId="0">
      <selection activeCell="E76" sqref="E76"/>
    </sheetView>
  </sheetViews>
  <sheetFormatPr baseColWidth="10" defaultColWidth="11.44140625" defaultRowHeight="18"/>
  <cols>
    <col min="1" max="1" width="4.5546875" style="635" customWidth="1"/>
    <col min="2" max="2" width="25.44140625" style="363" customWidth="1"/>
    <col min="3" max="3" width="11" style="363" customWidth="1"/>
    <col min="4" max="4" width="11.44140625" style="363"/>
    <col min="5" max="5" width="11.109375" style="516" bestFit="1" customWidth="1"/>
    <col min="6" max="6" width="11.88671875" style="516" bestFit="1" customWidth="1"/>
    <col min="7" max="7" width="3" style="516" customWidth="1"/>
    <col min="8" max="8" width="4.44140625" style="363" customWidth="1"/>
    <col min="9" max="9" width="26.44140625" style="363" customWidth="1"/>
    <col min="10" max="10" width="10.6640625" style="363" customWidth="1"/>
    <col min="11" max="11" width="11.44140625" style="363"/>
    <col min="12" max="12" width="12.88671875" style="363" customWidth="1"/>
    <col min="13" max="13" width="13.109375" style="363" customWidth="1"/>
    <col min="14" max="14" width="3.109375" style="363" customWidth="1"/>
    <col min="15" max="15" width="4.44140625" style="363" customWidth="1"/>
    <col min="16" max="16" width="24.5546875" style="363" customWidth="1"/>
    <col min="17" max="17" width="11" style="363" customWidth="1"/>
    <col min="18" max="18" width="11.44140625" style="363"/>
    <col min="19" max="19" width="11.5546875" style="363" customWidth="1"/>
    <col min="20" max="20" width="13.109375" style="363" customWidth="1"/>
    <col min="21" max="21" width="2.5546875" style="363" customWidth="1"/>
    <col min="22" max="22" width="4.44140625" style="363" customWidth="1"/>
    <col min="23" max="23" width="26.44140625" style="363" customWidth="1"/>
    <col min="24" max="24" width="12.5546875" style="363" customWidth="1"/>
    <col min="25" max="25" width="11.44140625" style="363"/>
    <col min="26" max="26" width="13.5546875" style="363" customWidth="1"/>
    <col min="27" max="27" width="13.109375" style="363" customWidth="1"/>
    <col min="28" max="34" width="11.44140625" style="363"/>
    <col min="35" max="35" width="20.5546875" style="363" customWidth="1"/>
    <col min="36" max="36" width="12.6640625" style="363" bestFit="1" customWidth="1"/>
    <col min="37" max="16384" width="11.44140625" style="363"/>
  </cols>
  <sheetData>
    <row r="1" spans="1:36">
      <c r="B1" s="636" t="s">
        <v>412</v>
      </c>
      <c r="C1" s="637">
        <v>3100</v>
      </c>
    </row>
    <row r="2" spans="1:36" ht="18.600000000000001" thickBot="1">
      <c r="B2" s="542"/>
      <c r="C2" s="542"/>
    </row>
    <row r="3" spans="1:36" ht="33.6" customHeight="1" thickBot="1">
      <c r="B3" s="897" t="s">
        <v>365</v>
      </c>
      <c r="C3" s="898"/>
      <c r="D3" s="898"/>
      <c r="E3" s="898"/>
      <c r="F3" s="899"/>
      <c r="G3" s="638"/>
      <c r="I3" s="893" t="s">
        <v>361</v>
      </c>
      <c r="J3" s="894"/>
      <c r="K3" s="894"/>
      <c r="L3" s="894"/>
      <c r="M3" s="895"/>
      <c r="P3" s="890" t="s">
        <v>390</v>
      </c>
      <c r="Q3" s="891"/>
      <c r="R3" s="891"/>
      <c r="S3" s="891"/>
      <c r="T3" s="892"/>
      <c r="W3" s="883" t="s">
        <v>385</v>
      </c>
      <c r="X3" s="884"/>
      <c r="Y3" s="884"/>
      <c r="Z3" s="884"/>
      <c r="AA3" s="885"/>
    </row>
    <row r="4" spans="1:36" ht="18.600000000000001" thickBot="1">
      <c r="G4" s="638"/>
      <c r="L4" s="516"/>
      <c r="M4" s="516"/>
      <c r="S4" s="516"/>
      <c r="T4" s="516"/>
      <c r="Z4" s="516"/>
      <c r="AA4" s="516"/>
    </row>
    <row r="5" spans="1:36" ht="30" customHeight="1" thickBot="1">
      <c r="A5" s="639">
        <v>1</v>
      </c>
      <c r="B5" s="459" t="s">
        <v>305</v>
      </c>
      <c r="C5" s="454" t="s">
        <v>629</v>
      </c>
      <c r="D5" s="451">
        <v>20</v>
      </c>
      <c r="E5" s="448" t="s">
        <v>630</v>
      </c>
      <c r="F5" s="450">
        <v>2018</v>
      </c>
      <c r="G5" s="638"/>
      <c r="H5" s="639">
        <v>1</v>
      </c>
      <c r="I5" s="464" t="s">
        <v>383</v>
      </c>
      <c r="J5" s="454" t="s">
        <v>629</v>
      </c>
      <c r="K5" s="451">
        <v>20</v>
      </c>
      <c r="L5" s="453" t="s">
        <v>630</v>
      </c>
      <c r="M5" s="450">
        <v>2020</v>
      </c>
      <c r="O5" s="639">
        <v>1</v>
      </c>
      <c r="P5" s="464" t="s">
        <v>392</v>
      </c>
      <c r="Q5" s="449" t="s">
        <v>631</v>
      </c>
      <c r="R5" s="451">
        <v>20</v>
      </c>
      <c r="S5" s="453" t="s">
        <v>630</v>
      </c>
      <c r="T5" s="450">
        <v>2020</v>
      </c>
      <c r="V5" s="639">
        <v>1</v>
      </c>
      <c r="W5" s="475" t="s">
        <v>386</v>
      </c>
      <c r="X5" s="482" t="s">
        <v>631</v>
      </c>
      <c r="Y5" s="483">
        <v>15</v>
      </c>
      <c r="Z5" s="484" t="s">
        <v>630</v>
      </c>
      <c r="AA5" s="476">
        <v>2020</v>
      </c>
    </row>
    <row r="6" spans="1:36" ht="19.2" thickTop="1" thickBot="1">
      <c r="B6" s="673" t="s">
        <v>238</v>
      </c>
      <c r="C6" s="674" t="s">
        <v>375</v>
      </c>
      <c r="D6" s="675" t="s">
        <v>382</v>
      </c>
      <c r="E6" s="675" t="s">
        <v>381</v>
      </c>
      <c r="F6" s="675" t="s">
        <v>416</v>
      </c>
      <c r="G6" s="638"/>
      <c r="H6" s="635"/>
      <c r="I6" s="673" t="s">
        <v>238</v>
      </c>
      <c r="J6" s="674" t="s">
        <v>375</v>
      </c>
      <c r="K6" s="675" t="s">
        <v>382</v>
      </c>
      <c r="L6" s="675" t="s">
        <v>381</v>
      </c>
      <c r="M6" s="675" t="s">
        <v>416</v>
      </c>
      <c r="O6" s="635"/>
      <c r="P6" s="673" t="s">
        <v>238</v>
      </c>
      <c r="Q6" s="676" t="s">
        <v>375</v>
      </c>
      <c r="R6" s="676" t="s">
        <v>382</v>
      </c>
      <c r="S6" s="676" t="s">
        <v>381</v>
      </c>
      <c r="T6" s="677" t="s">
        <v>416</v>
      </c>
      <c r="V6" s="635"/>
      <c r="W6" s="681" t="s">
        <v>238</v>
      </c>
      <c r="X6" s="682" t="s">
        <v>375</v>
      </c>
      <c r="Y6" s="682" t="s">
        <v>382</v>
      </c>
      <c r="Z6" s="682" t="s">
        <v>381</v>
      </c>
      <c r="AA6" s="683" t="s">
        <v>416</v>
      </c>
    </row>
    <row r="7" spans="1:36">
      <c r="B7" s="461" t="s">
        <v>410</v>
      </c>
      <c r="C7" s="455">
        <v>1</v>
      </c>
      <c r="D7" s="439">
        <f>IF(B7="",0,VLOOKUP(B7,$AI$10:$AJ$19,2))</f>
        <v>0.5</v>
      </c>
      <c r="E7" s="47">
        <f>$C$1</f>
        <v>3100</v>
      </c>
      <c r="F7" s="30">
        <f>+C7*D7*E7</f>
        <v>1550</v>
      </c>
      <c r="G7" s="638"/>
      <c r="H7" s="635"/>
      <c r="I7" s="461" t="s">
        <v>407</v>
      </c>
      <c r="J7" s="455">
        <v>2</v>
      </c>
      <c r="K7" s="439">
        <f>IF(I7="",0,VLOOKUP(I7,$AI$10:$AJ$19,2))</f>
        <v>0.25</v>
      </c>
      <c r="L7" s="47">
        <f>$C$1</f>
        <v>3100</v>
      </c>
      <c r="M7" s="30">
        <f>+J7*K7*L7</f>
        <v>1550</v>
      </c>
      <c r="O7" s="635"/>
      <c r="P7" s="461" t="s">
        <v>409</v>
      </c>
      <c r="Q7" s="485">
        <v>0.5</v>
      </c>
      <c r="R7" s="439">
        <f>IF(P7="",0,VLOOKUP(P7,$AI$10:$AJ$19,2))</f>
        <v>0.4</v>
      </c>
      <c r="S7" s="47">
        <f>$C$1</f>
        <v>3100</v>
      </c>
      <c r="T7" s="30">
        <f>+Q7*R7*S7</f>
        <v>620</v>
      </c>
      <c r="V7" s="635"/>
      <c r="W7" s="477" t="s">
        <v>407</v>
      </c>
      <c r="X7" s="441">
        <v>1</v>
      </c>
      <c r="Y7" s="442">
        <f>IF(W7="",0,VLOOKUP(W7,$AI$10:$AJ$19,2))</f>
        <v>0.25</v>
      </c>
      <c r="Z7" s="18">
        <f>$C$1</f>
        <v>3100</v>
      </c>
      <c r="AA7" s="478">
        <f>+X7*Y7*Z7</f>
        <v>775</v>
      </c>
      <c r="AI7" s="518"/>
      <c r="AJ7" s="518"/>
    </row>
    <row r="8" spans="1:36">
      <c r="B8" s="462" t="s">
        <v>408</v>
      </c>
      <c r="C8" s="456">
        <v>1</v>
      </c>
      <c r="D8" s="442">
        <f t="shared" ref="D8:D11" si="0">IF(B8="",0,VLOOKUP(B8,$AI$10:$AJ$19,2))</f>
        <v>0.6</v>
      </c>
      <c r="E8" s="18">
        <f t="shared" ref="E8:E11" si="1">$C$1</f>
        <v>3100</v>
      </c>
      <c r="F8" s="65">
        <f t="shared" ref="F8:F11" si="2">+C8*D8*E8</f>
        <v>1860</v>
      </c>
      <c r="G8" s="638"/>
      <c r="H8" s="635"/>
      <c r="I8" s="462" t="s">
        <v>408</v>
      </c>
      <c r="J8" s="456">
        <v>1</v>
      </c>
      <c r="K8" s="442">
        <f t="shared" ref="K8:K11" si="3">IF(I8="",0,VLOOKUP(I8,$AI$10:$AJ$19,2))</f>
        <v>0.6</v>
      </c>
      <c r="L8" s="18">
        <f t="shared" ref="L8:L11" si="4">$C$1</f>
        <v>3100</v>
      </c>
      <c r="M8" s="65">
        <f t="shared" ref="M8:M11" si="5">+J8*K8*L8</f>
        <v>1860</v>
      </c>
      <c r="O8" s="635"/>
      <c r="P8" s="462" t="s">
        <v>407</v>
      </c>
      <c r="Q8" s="486">
        <v>1</v>
      </c>
      <c r="R8" s="442">
        <f t="shared" ref="R8:R11" si="6">IF(P8="",0,VLOOKUP(P8,$AI$10:$AJ$19,2))</f>
        <v>0.25</v>
      </c>
      <c r="S8" s="18">
        <f t="shared" ref="S8:S11" si="7">$C$1</f>
        <v>3100</v>
      </c>
      <c r="T8" s="65">
        <f t="shared" ref="T8:T11" si="8">+Q8*R8*S8</f>
        <v>775</v>
      </c>
      <c r="V8" s="635"/>
      <c r="W8" s="477" t="s">
        <v>408</v>
      </c>
      <c r="X8" s="441">
        <v>1</v>
      </c>
      <c r="Y8" s="442">
        <f t="shared" ref="Y8:Y11" si="9">IF(W8="",0,VLOOKUP(W8,$AI$10:$AJ$19,2))</f>
        <v>0.6</v>
      </c>
      <c r="Z8" s="18">
        <f t="shared" ref="Z8:Z11" si="10">$C$1</f>
        <v>3100</v>
      </c>
      <c r="AA8" s="478">
        <f t="shared" ref="AA8:AA11" si="11">+X8*Y8*Z8</f>
        <v>1860</v>
      </c>
    </row>
    <row r="9" spans="1:36">
      <c r="B9" s="462" t="s">
        <v>409</v>
      </c>
      <c r="C9" s="456">
        <v>1</v>
      </c>
      <c r="D9" s="442">
        <f t="shared" si="0"/>
        <v>0.4</v>
      </c>
      <c r="E9" s="18">
        <f t="shared" si="1"/>
        <v>3100</v>
      </c>
      <c r="F9" s="65">
        <f t="shared" si="2"/>
        <v>1240</v>
      </c>
      <c r="G9" s="638"/>
      <c r="H9" s="635"/>
      <c r="I9" s="462" t="s">
        <v>409</v>
      </c>
      <c r="J9" s="458">
        <v>0.5</v>
      </c>
      <c r="K9" s="442">
        <f t="shared" si="3"/>
        <v>0.4</v>
      </c>
      <c r="L9" s="18">
        <f t="shared" si="4"/>
        <v>3100</v>
      </c>
      <c r="M9" s="65">
        <f t="shared" si="5"/>
        <v>620</v>
      </c>
      <c r="O9" s="635"/>
      <c r="P9" s="462"/>
      <c r="Q9" s="486"/>
      <c r="R9" s="442">
        <f t="shared" si="6"/>
        <v>0</v>
      </c>
      <c r="S9" s="18">
        <f t="shared" si="7"/>
        <v>3100</v>
      </c>
      <c r="T9" s="65">
        <f t="shared" si="8"/>
        <v>0</v>
      </c>
      <c r="V9" s="635"/>
      <c r="W9" s="477" t="s">
        <v>411</v>
      </c>
      <c r="X9" s="441">
        <v>2</v>
      </c>
      <c r="Y9" s="442">
        <f t="shared" si="9"/>
        <v>0.35</v>
      </c>
      <c r="Z9" s="18">
        <f t="shared" si="10"/>
        <v>3100</v>
      </c>
      <c r="AA9" s="478">
        <f t="shared" si="11"/>
        <v>2170</v>
      </c>
    </row>
    <row r="10" spans="1:36">
      <c r="B10" s="462" t="s">
        <v>410</v>
      </c>
      <c r="C10" s="456">
        <v>1</v>
      </c>
      <c r="D10" s="442">
        <f t="shared" si="0"/>
        <v>0.5</v>
      </c>
      <c r="E10" s="18">
        <f t="shared" si="1"/>
        <v>3100</v>
      </c>
      <c r="F10" s="65">
        <f t="shared" si="2"/>
        <v>1550</v>
      </c>
      <c r="G10" s="638"/>
      <c r="H10" s="635"/>
      <c r="I10" s="462" t="s">
        <v>410</v>
      </c>
      <c r="J10" s="456"/>
      <c r="K10" s="442">
        <f t="shared" si="3"/>
        <v>0.5</v>
      </c>
      <c r="L10" s="18">
        <f t="shared" si="4"/>
        <v>3100</v>
      </c>
      <c r="M10" s="65">
        <f t="shared" si="5"/>
        <v>0</v>
      </c>
      <c r="O10" s="635"/>
      <c r="P10" s="462"/>
      <c r="Q10" s="486"/>
      <c r="R10" s="442">
        <f t="shared" si="6"/>
        <v>0</v>
      </c>
      <c r="S10" s="18">
        <f t="shared" si="7"/>
        <v>3100</v>
      </c>
      <c r="T10" s="65">
        <f t="shared" si="8"/>
        <v>0</v>
      </c>
      <c r="V10" s="635"/>
      <c r="W10" s="477" t="s">
        <v>410</v>
      </c>
      <c r="X10" s="441"/>
      <c r="Y10" s="442">
        <f t="shared" si="9"/>
        <v>0.5</v>
      </c>
      <c r="Z10" s="18">
        <f t="shared" si="10"/>
        <v>3100</v>
      </c>
      <c r="AA10" s="478">
        <f t="shared" si="11"/>
        <v>0</v>
      </c>
      <c r="AI10" s="363" t="s">
        <v>409</v>
      </c>
      <c r="AJ10" s="25">
        <v>0.4</v>
      </c>
    </row>
    <row r="11" spans="1:36" ht="18.600000000000001" thickBot="1">
      <c r="B11" s="466" t="s">
        <v>411</v>
      </c>
      <c r="C11" s="467">
        <v>1</v>
      </c>
      <c r="D11" s="468">
        <f t="shared" si="0"/>
        <v>0.35</v>
      </c>
      <c r="E11" s="469">
        <f t="shared" si="1"/>
        <v>3100</v>
      </c>
      <c r="F11" s="470">
        <f t="shared" si="2"/>
        <v>1085</v>
      </c>
      <c r="G11" s="638"/>
      <c r="H11" s="635"/>
      <c r="I11" s="463" t="s">
        <v>411</v>
      </c>
      <c r="J11" s="457"/>
      <c r="K11" s="445">
        <f t="shared" si="3"/>
        <v>0.35</v>
      </c>
      <c r="L11" s="58">
        <f t="shared" si="4"/>
        <v>3100</v>
      </c>
      <c r="M11" s="415">
        <f t="shared" si="5"/>
        <v>0</v>
      </c>
      <c r="O11" s="635"/>
      <c r="P11" s="463"/>
      <c r="Q11" s="487"/>
      <c r="R11" s="445">
        <f t="shared" si="6"/>
        <v>0</v>
      </c>
      <c r="S11" s="58">
        <f t="shared" si="7"/>
        <v>3100</v>
      </c>
      <c r="T11" s="415">
        <f t="shared" si="8"/>
        <v>0</v>
      </c>
      <c r="V11" s="635"/>
      <c r="W11" s="477" t="s">
        <v>411</v>
      </c>
      <c r="X11" s="441"/>
      <c r="Y11" s="442">
        <f t="shared" si="9"/>
        <v>0.35</v>
      </c>
      <c r="Z11" s="18">
        <f t="shared" si="10"/>
        <v>3100</v>
      </c>
      <c r="AA11" s="478">
        <f t="shared" si="11"/>
        <v>0</v>
      </c>
      <c r="AI11" s="363" t="s">
        <v>410</v>
      </c>
      <c r="AJ11" s="25">
        <v>0.5</v>
      </c>
    </row>
    <row r="12" spans="1:36" ht="18.600000000000001" thickBot="1">
      <c r="B12" s="673" t="s">
        <v>239</v>
      </c>
      <c r="C12" s="674" t="s">
        <v>379</v>
      </c>
      <c r="D12" s="675" t="s">
        <v>306</v>
      </c>
      <c r="E12" s="675" t="s">
        <v>378</v>
      </c>
      <c r="F12" s="675" t="s">
        <v>416</v>
      </c>
      <c r="G12" s="638"/>
      <c r="H12" s="635"/>
      <c r="I12" s="673" t="s">
        <v>239</v>
      </c>
      <c r="J12" s="674" t="s">
        <v>379</v>
      </c>
      <c r="K12" s="675" t="s">
        <v>306</v>
      </c>
      <c r="L12" s="675" t="s">
        <v>378</v>
      </c>
      <c r="M12" s="675" t="s">
        <v>416</v>
      </c>
      <c r="O12" s="635"/>
      <c r="P12" s="673" t="s">
        <v>377</v>
      </c>
      <c r="Q12" s="676" t="s">
        <v>379</v>
      </c>
      <c r="R12" s="676" t="s">
        <v>306</v>
      </c>
      <c r="S12" s="676" t="s">
        <v>378</v>
      </c>
      <c r="T12" s="677" t="s">
        <v>416</v>
      </c>
      <c r="V12" s="635"/>
      <c r="W12" s="673" t="s">
        <v>239</v>
      </c>
      <c r="X12" s="674" t="s">
        <v>379</v>
      </c>
      <c r="Y12" s="675" t="s">
        <v>306</v>
      </c>
      <c r="Z12" s="675" t="s">
        <v>378</v>
      </c>
      <c r="AA12" s="675" t="s">
        <v>416</v>
      </c>
      <c r="AI12" s="363" t="s">
        <v>411</v>
      </c>
      <c r="AJ12" s="25">
        <v>0.35</v>
      </c>
    </row>
    <row r="13" spans="1:36">
      <c r="B13" s="471" t="s">
        <v>302</v>
      </c>
      <c r="C13" s="472">
        <v>10</v>
      </c>
      <c r="D13" s="47" t="s">
        <v>380</v>
      </c>
      <c r="E13" s="473">
        <v>244</v>
      </c>
      <c r="F13" s="30">
        <f>E13*C13</f>
        <v>2440</v>
      </c>
      <c r="G13" s="638"/>
      <c r="H13" s="635"/>
      <c r="I13" s="437" t="s">
        <v>362</v>
      </c>
      <c r="J13" s="455">
        <v>12</v>
      </c>
      <c r="K13" s="47" t="s">
        <v>380</v>
      </c>
      <c r="L13" s="438">
        <v>500</v>
      </c>
      <c r="M13" s="30">
        <f>L13*J13</f>
        <v>6000</v>
      </c>
      <c r="O13" s="635"/>
      <c r="P13" s="437" t="s">
        <v>634</v>
      </c>
      <c r="Q13" s="488">
        <v>0.25</v>
      </c>
      <c r="R13" s="47" t="s">
        <v>632</v>
      </c>
      <c r="S13" s="438">
        <f>4*101</f>
        <v>404</v>
      </c>
      <c r="T13" s="30">
        <f>S13*Q13</f>
        <v>101</v>
      </c>
      <c r="V13" s="635"/>
      <c r="W13" s="480" t="s">
        <v>387</v>
      </c>
      <c r="X13" s="441">
        <v>100</v>
      </c>
      <c r="Y13" s="490" t="s">
        <v>380</v>
      </c>
      <c r="Z13" s="441">
        <v>30</v>
      </c>
      <c r="AA13" s="478">
        <f>Z13*X13</f>
        <v>3000</v>
      </c>
      <c r="AI13" s="363" t="s">
        <v>407</v>
      </c>
      <c r="AJ13" s="25">
        <v>0.25</v>
      </c>
    </row>
    <row r="14" spans="1:36">
      <c r="B14" s="440" t="s">
        <v>303</v>
      </c>
      <c r="C14" s="456">
        <v>4</v>
      </c>
      <c r="D14" s="47" t="s">
        <v>380</v>
      </c>
      <c r="E14" s="441">
        <v>260</v>
      </c>
      <c r="F14" s="65">
        <f t="shared" ref="F14:F17" si="12">E14*C14</f>
        <v>1040</v>
      </c>
      <c r="G14" s="638"/>
      <c r="H14" s="635"/>
      <c r="I14" s="440" t="s">
        <v>384</v>
      </c>
      <c r="J14" s="456">
        <v>8</v>
      </c>
      <c r="K14" s="18"/>
      <c r="L14" s="441">
        <v>200</v>
      </c>
      <c r="M14" s="65">
        <f t="shared" ref="M14:M17" si="13">L14*J14</f>
        <v>1600</v>
      </c>
      <c r="O14" s="635"/>
      <c r="P14" s="440"/>
      <c r="Q14" s="441"/>
      <c r="R14" s="18"/>
      <c r="S14" s="441"/>
      <c r="T14" s="65">
        <f t="shared" ref="T14:T17" si="14">S14*Q14</f>
        <v>0</v>
      </c>
      <c r="V14" s="635"/>
      <c r="W14" s="480"/>
      <c r="X14" s="441"/>
      <c r="Y14" s="441"/>
      <c r="Z14" s="441"/>
      <c r="AA14" s="478">
        <f t="shared" ref="AA14:AA17" si="15">Z14*X14</f>
        <v>0</v>
      </c>
      <c r="AI14" s="363" t="s">
        <v>408</v>
      </c>
      <c r="AJ14" s="25">
        <v>0.6</v>
      </c>
    </row>
    <row r="15" spans="1:36">
      <c r="B15" s="440" t="s">
        <v>304</v>
      </c>
      <c r="C15" s="456">
        <v>6</v>
      </c>
      <c r="D15" s="47" t="s">
        <v>380</v>
      </c>
      <c r="E15" s="441">
        <v>406</v>
      </c>
      <c r="F15" s="65">
        <f t="shared" si="12"/>
        <v>2436</v>
      </c>
      <c r="G15" s="638"/>
      <c r="H15" s="635"/>
      <c r="I15" s="440"/>
      <c r="J15" s="456"/>
      <c r="K15" s="18"/>
      <c r="L15" s="441"/>
      <c r="M15" s="65">
        <f t="shared" si="13"/>
        <v>0</v>
      </c>
      <c r="O15" s="635"/>
      <c r="P15" s="440"/>
      <c r="Q15" s="441"/>
      <c r="R15" s="18"/>
      <c r="S15" s="441"/>
      <c r="T15" s="65">
        <f t="shared" si="14"/>
        <v>0</v>
      </c>
      <c r="V15" s="635"/>
      <c r="W15" s="480"/>
      <c r="X15" s="441"/>
      <c r="Y15" s="441"/>
      <c r="Z15" s="441"/>
      <c r="AA15" s="478">
        <f t="shared" si="15"/>
        <v>0</v>
      </c>
      <c r="AI15" s="363" t="s">
        <v>622</v>
      </c>
      <c r="AJ15" s="25">
        <v>0.6</v>
      </c>
    </row>
    <row r="16" spans="1:36">
      <c r="B16" s="440"/>
      <c r="C16" s="456"/>
      <c r="D16" s="18"/>
      <c r="E16" s="441"/>
      <c r="F16" s="65">
        <f t="shared" si="12"/>
        <v>0</v>
      </c>
      <c r="G16" s="638"/>
      <c r="H16" s="635"/>
      <c r="I16" s="440"/>
      <c r="J16" s="456"/>
      <c r="K16" s="18"/>
      <c r="L16" s="441"/>
      <c r="M16" s="65">
        <f t="shared" si="13"/>
        <v>0</v>
      </c>
      <c r="O16" s="635"/>
      <c r="P16" s="440"/>
      <c r="Q16" s="441"/>
      <c r="R16" s="18"/>
      <c r="S16" s="441"/>
      <c r="T16" s="65">
        <f t="shared" si="14"/>
        <v>0</v>
      </c>
      <c r="V16" s="635"/>
      <c r="W16" s="480"/>
      <c r="X16" s="441"/>
      <c r="Y16" s="441"/>
      <c r="Z16" s="441"/>
      <c r="AA16" s="478">
        <f t="shared" si="15"/>
        <v>0</v>
      </c>
      <c r="AI16" s="363" t="s">
        <v>623</v>
      </c>
      <c r="AJ16" s="25">
        <v>1</v>
      </c>
    </row>
    <row r="17" spans="1:36" ht="18.600000000000001" thickBot="1">
      <c r="B17" s="443"/>
      <c r="C17" s="457"/>
      <c r="D17" s="58"/>
      <c r="E17" s="444"/>
      <c r="F17" s="415">
        <f t="shared" si="12"/>
        <v>0</v>
      </c>
      <c r="G17" s="638"/>
      <c r="H17" s="635"/>
      <c r="I17" s="443"/>
      <c r="J17" s="457"/>
      <c r="K17" s="58"/>
      <c r="L17" s="444"/>
      <c r="M17" s="415">
        <f t="shared" si="13"/>
        <v>0</v>
      </c>
      <c r="O17" s="635"/>
      <c r="P17" s="443"/>
      <c r="Q17" s="444"/>
      <c r="R17" s="58"/>
      <c r="S17" s="444"/>
      <c r="T17" s="415">
        <f t="shared" si="14"/>
        <v>0</v>
      </c>
      <c r="V17" s="635"/>
      <c r="W17" s="480"/>
      <c r="X17" s="441"/>
      <c r="Y17" s="441"/>
      <c r="Z17" s="441"/>
      <c r="AA17" s="478">
        <f t="shared" si="15"/>
        <v>0</v>
      </c>
      <c r="AI17" s="363" t="s">
        <v>624</v>
      </c>
      <c r="AJ17" s="25">
        <v>0.85</v>
      </c>
    </row>
    <row r="18" spans="1:36" ht="18.600000000000001" thickBot="1">
      <c r="B18" s="675" t="s">
        <v>377</v>
      </c>
      <c r="C18" s="675" t="s">
        <v>379</v>
      </c>
      <c r="D18" s="675" t="s">
        <v>306</v>
      </c>
      <c r="E18" s="675" t="s">
        <v>378</v>
      </c>
      <c r="F18" s="675" t="s">
        <v>416</v>
      </c>
      <c r="G18" s="638"/>
      <c r="H18" s="635"/>
      <c r="I18" s="675" t="s">
        <v>377</v>
      </c>
      <c r="J18" s="675" t="s">
        <v>379</v>
      </c>
      <c r="K18" s="675" t="s">
        <v>306</v>
      </c>
      <c r="L18" s="675" t="s">
        <v>378</v>
      </c>
      <c r="M18" s="675" t="s">
        <v>416</v>
      </c>
      <c r="O18" s="635"/>
      <c r="P18" s="874" t="s">
        <v>391</v>
      </c>
      <c r="Q18" s="875"/>
      <c r="R18" s="875"/>
      <c r="S18" s="876"/>
      <c r="T18" s="6">
        <f>SUM(T7:T17)</f>
        <v>1496</v>
      </c>
      <c r="V18" s="635"/>
      <c r="W18" s="684" t="s">
        <v>377</v>
      </c>
      <c r="X18" s="679" t="s">
        <v>379</v>
      </c>
      <c r="Y18" s="679" t="s">
        <v>306</v>
      </c>
      <c r="Z18" s="679" t="s">
        <v>378</v>
      </c>
      <c r="AA18" s="685" t="s">
        <v>416</v>
      </c>
      <c r="AI18" s="363" t="s">
        <v>625</v>
      </c>
      <c r="AJ18" s="25">
        <v>0.8</v>
      </c>
    </row>
    <row r="19" spans="1:36">
      <c r="B19" s="437" t="s">
        <v>363</v>
      </c>
      <c r="C19" s="438">
        <v>70</v>
      </c>
      <c r="D19" s="438" t="s">
        <v>380</v>
      </c>
      <c r="E19" s="438">
        <v>200</v>
      </c>
      <c r="F19" s="30">
        <f>+C19*E19</f>
        <v>14000</v>
      </c>
      <c r="G19" s="638"/>
      <c r="H19" s="635"/>
      <c r="I19" s="437" t="s">
        <v>363</v>
      </c>
      <c r="J19" s="438">
        <v>70</v>
      </c>
      <c r="K19" s="438" t="s">
        <v>380</v>
      </c>
      <c r="L19" s="438">
        <v>200</v>
      </c>
      <c r="M19" s="30">
        <f>+J19*L19</f>
        <v>14000</v>
      </c>
      <c r="O19" s="635"/>
      <c r="V19" s="635"/>
      <c r="W19" s="480" t="s">
        <v>633</v>
      </c>
      <c r="X19" s="465">
        <v>2</v>
      </c>
      <c r="Y19" s="441" t="s">
        <v>632</v>
      </c>
      <c r="Z19" s="441">
        <f>3*101</f>
        <v>303</v>
      </c>
      <c r="AA19" s="478">
        <f>+X19*Z19</f>
        <v>606</v>
      </c>
      <c r="AI19" s="363" t="s">
        <v>626</v>
      </c>
      <c r="AJ19" s="25">
        <v>0.8</v>
      </c>
    </row>
    <row r="20" spans="1:36">
      <c r="B20" s="440" t="s">
        <v>633</v>
      </c>
      <c r="C20" s="441">
        <v>3</v>
      </c>
      <c r="D20" s="441" t="s">
        <v>632</v>
      </c>
      <c r="E20" s="441">
        <v>700</v>
      </c>
      <c r="F20" s="65">
        <f t="shared" ref="F20:F23" si="16">+C20*E20</f>
        <v>2100</v>
      </c>
      <c r="G20" s="638"/>
      <c r="H20" s="635"/>
      <c r="I20" s="440" t="s">
        <v>633</v>
      </c>
      <c r="J20" s="441">
        <v>3</v>
      </c>
      <c r="K20" s="441" t="s">
        <v>632</v>
      </c>
      <c r="L20" s="441">
        <v>700</v>
      </c>
      <c r="M20" s="65">
        <f t="shared" ref="M20:M23" si="17">+J20*L20</f>
        <v>2100</v>
      </c>
      <c r="O20" s="635"/>
      <c r="V20" s="635"/>
      <c r="W20" s="480"/>
      <c r="X20" s="465"/>
      <c r="Y20" s="441"/>
      <c r="Z20" s="441"/>
      <c r="AA20" s="478">
        <f t="shared" ref="AA20:AA23" si="18">+X20*Z20</f>
        <v>0</v>
      </c>
      <c r="AI20" s="363" t="s">
        <v>627</v>
      </c>
      <c r="AJ20" s="25">
        <v>0.8</v>
      </c>
    </row>
    <row r="21" spans="1:36">
      <c r="B21" s="440"/>
      <c r="C21" s="441"/>
      <c r="D21" s="441"/>
      <c r="E21" s="441"/>
      <c r="F21" s="65">
        <f t="shared" si="16"/>
        <v>0</v>
      </c>
      <c r="G21" s="638"/>
      <c r="H21" s="635"/>
      <c r="I21" s="440"/>
      <c r="J21" s="441"/>
      <c r="K21" s="441"/>
      <c r="L21" s="441"/>
      <c r="M21" s="65">
        <f t="shared" si="17"/>
        <v>0</v>
      </c>
      <c r="O21" s="635"/>
      <c r="V21" s="635"/>
      <c r="W21" s="480"/>
      <c r="X21" s="465"/>
      <c r="Y21" s="441"/>
      <c r="Z21" s="441"/>
      <c r="AA21" s="478">
        <f t="shared" si="18"/>
        <v>0</v>
      </c>
      <c r="AI21" s="363" t="s">
        <v>628</v>
      </c>
      <c r="AJ21" s="25">
        <v>0.8</v>
      </c>
    </row>
    <row r="22" spans="1:36">
      <c r="B22" s="440"/>
      <c r="C22" s="441"/>
      <c r="D22" s="441"/>
      <c r="E22" s="441"/>
      <c r="F22" s="65">
        <f t="shared" si="16"/>
        <v>0</v>
      </c>
      <c r="G22" s="638"/>
      <c r="H22" s="635"/>
      <c r="I22" s="440"/>
      <c r="J22" s="441"/>
      <c r="K22" s="441"/>
      <c r="L22" s="441"/>
      <c r="M22" s="65">
        <f t="shared" si="17"/>
        <v>0</v>
      </c>
      <c r="O22" s="635"/>
      <c r="V22" s="635"/>
      <c r="W22" s="480"/>
      <c r="X22" s="465"/>
      <c r="Y22" s="441"/>
      <c r="Z22" s="441"/>
      <c r="AA22" s="478">
        <f t="shared" si="18"/>
        <v>0</v>
      </c>
    </row>
    <row r="23" spans="1:36" ht="18.600000000000001" thickBot="1">
      <c r="B23" s="443"/>
      <c r="C23" s="444"/>
      <c r="D23" s="444"/>
      <c r="E23" s="444"/>
      <c r="F23" s="415">
        <f t="shared" si="16"/>
        <v>0</v>
      </c>
      <c r="G23" s="638"/>
      <c r="H23" s="635"/>
      <c r="I23" s="443"/>
      <c r="J23" s="444"/>
      <c r="K23" s="444"/>
      <c r="L23" s="444"/>
      <c r="M23" s="415">
        <f t="shared" si="17"/>
        <v>0</v>
      </c>
      <c r="O23" s="635"/>
      <c r="V23" s="635"/>
      <c r="W23" s="480"/>
      <c r="X23" s="465"/>
      <c r="Y23" s="441"/>
      <c r="Z23" s="441"/>
      <c r="AA23" s="478">
        <f t="shared" si="18"/>
        <v>0</v>
      </c>
    </row>
    <row r="24" spans="1:36" ht="18.600000000000001" thickBot="1">
      <c r="B24" s="874" t="s">
        <v>240</v>
      </c>
      <c r="C24" s="875"/>
      <c r="D24" s="875"/>
      <c r="E24" s="876"/>
      <c r="F24" s="6">
        <f>SUM(F7:F23)</f>
        <v>29301</v>
      </c>
      <c r="G24" s="638"/>
      <c r="H24" s="635"/>
      <c r="I24" s="874" t="s">
        <v>240</v>
      </c>
      <c r="J24" s="875"/>
      <c r="K24" s="875"/>
      <c r="L24" s="876"/>
      <c r="M24" s="6">
        <f>SUM(M7:M23)</f>
        <v>27730</v>
      </c>
      <c r="O24" s="635"/>
      <c r="V24" s="635"/>
      <c r="W24" s="886" t="s">
        <v>240</v>
      </c>
      <c r="X24" s="887"/>
      <c r="Y24" s="887"/>
      <c r="Z24" s="887"/>
      <c r="AA24" s="481">
        <f>SUM(AA7:AA23)</f>
        <v>8411</v>
      </c>
    </row>
    <row r="25" spans="1:36" ht="21" customHeight="1" thickBot="1">
      <c r="B25" s="874" t="s">
        <v>241</v>
      </c>
      <c r="C25" s="875"/>
      <c r="D25" s="875"/>
      <c r="E25" s="876"/>
      <c r="F25" s="13">
        <v>4</v>
      </c>
      <c r="G25" s="638"/>
      <c r="H25" s="635"/>
      <c r="I25" s="874" t="s">
        <v>241</v>
      </c>
      <c r="J25" s="875"/>
      <c r="K25" s="875"/>
      <c r="L25" s="876"/>
      <c r="M25" s="13">
        <v>4</v>
      </c>
      <c r="O25" s="635"/>
      <c r="P25" s="896" t="s">
        <v>506</v>
      </c>
      <c r="Q25" s="896"/>
      <c r="R25" s="896"/>
      <c r="S25" s="896"/>
      <c r="T25" s="896"/>
      <c r="V25" s="635"/>
      <c r="W25" s="635"/>
      <c r="X25" s="635"/>
      <c r="Y25" s="635"/>
      <c r="Z25" s="635"/>
      <c r="AA25" s="635"/>
      <c r="AB25" s="635"/>
    </row>
    <row r="26" spans="1:36">
      <c r="G26" s="638"/>
      <c r="H26" s="635"/>
      <c r="L26" s="516"/>
      <c r="M26" s="516"/>
      <c r="O26" s="635"/>
      <c r="P26" s="896"/>
      <c r="Q26" s="896"/>
      <c r="R26" s="896"/>
      <c r="S26" s="896"/>
      <c r="T26" s="896"/>
      <c r="V26" s="635"/>
      <c r="Z26" s="516"/>
      <c r="AA26" s="516"/>
    </row>
    <row r="27" spans="1:36" ht="18.600000000000001" thickBot="1">
      <c r="G27" s="638"/>
      <c r="H27" s="635"/>
      <c r="L27" s="516"/>
      <c r="M27" s="516"/>
      <c r="V27" s="635"/>
      <c r="Z27" s="516"/>
      <c r="AA27" s="516"/>
    </row>
    <row r="28" spans="1:36" ht="30.75" customHeight="1" thickBot="1">
      <c r="A28" s="651">
        <v>2</v>
      </c>
      <c r="B28" s="459" t="s">
        <v>648</v>
      </c>
      <c r="C28" s="454" t="s">
        <v>629</v>
      </c>
      <c r="D28" s="451">
        <v>22</v>
      </c>
      <c r="E28" s="448" t="s">
        <v>635</v>
      </c>
      <c r="F28" s="450">
        <v>2018</v>
      </c>
      <c r="G28" s="638"/>
      <c r="H28" s="651">
        <v>2</v>
      </c>
      <c r="I28" s="459" t="s">
        <v>401</v>
      </c>
      <c r="J28" s="454" t="s">
        <v>629</v>
      </c>
      <c r="K28" s="451">
        <v>10</v>
      </c>
      <c r="L28" s="448" t="s">
        <v>630</v>
      </c>
      <c r="M28" s="450">
        <v>2020</v>
      </c>
      <c r="O28" s="639">
        <v>1</v>
      </c>
      <c r="P28" s="459" t="s">
        <v>507</v>
      </c>
      <c r="Q28" s="454" t="s">
        <v>631</v>
      </c>
      <c r="R28" s="451">
        <v>75</v>
      </c>
      <c r="S28" s="474"/>
      <c r="T28" s="10"/>
      <c r="V28" s="651">
        <v>2</v>
      </c>
      <c r="W28" s="459" t="s">
        <v>388</v>
      </c>
      <c r="X28" s="482" t="s">
        <v>631</v>
      </c>
      <c r="Y28" s="483">
        <v>8</v>
      </c>
      <c r="Z28" s="484" t="s">
        <v>630</v>
      </c>
      <c r="AA28" s="476">
        <v>2020</v>
      </c>
    </row>
    <row r="29" spans="1:36" ht="19.2" thickTop="1" thickBot="1">
      <c r="B29" s="673" t="s">
        <v>238</v>
      </c>
      <c r="C29" s="674" t="s">
        <v>375</v>
      </c>
      <c r="D29" s="675" t="s">
        <v>382</v>
      </c>
      <c r="E29" s="675" t="s">
        <v>381</v>
      </c>
      <c r="F29" s="675" t="s">
        <v>416</v>
      </c>
      <c r="G29" s="638"/>
      <c r="H29" s="635"/>
      <c r="I29" s="673" t="s">
        <v>238</v>
      </c>
      <c r="J29" s="674" t="s">
        <v>375</v>
      </c>
      <c r="K29" s="675" t="s">
        <v>382</v>
      </c>
      <c r="L29" s="675" t="s">
        <v>381</v>
      </c>
      <c r="M29" s="675" t="s">
        <v>416</v>
      </c>
      <c r="P29" s="678" t="s">
        <v>238</v>
      </c>
      <c r="Q29" s="679" t="s">
        <v>375</v>
      </c>
      <c r="R29" s="679" t="s">
        <v>382</v>
      </c>
      <c r="S29" s="679" t="s">
        <v>381</v>
      </c>
      <c r="T29" s="680" t="s">
        <v>416</v>
      </c>
      <c r="V29" s="635"/>
      <c r="W29" s="681" t="s">
        <v>238</v>
      </c>
      <c r="X29" s="682" t="s">
        <v>375</v>
      </c>
      <c r="Y29" s="682" t="s">
        <v>382</v>
      </c>
      <c r="Z29" s="682" t="s">
        <v>381</v>
      </c>
      <c r="AA29" s="683" t="s">
        <v>416</v>
      </c>
    </row>
    <row r="30" spans="1:36">
      <c r="B30" s="461" t="s">
        <v>407</v>
      </c>
      <c r="C30" s="455">
        <v>1</v>
      </c>
      <c r="D30" s="439">
        <f>IF(B30="",0,VLOOKUP(B30,$AI$10:$AJ$19,2))</f>
        <v>0.25</v>
      </c>
      <c r="E30" s="47">
        <f>$C$1</f>
        <v>3100</v>
      </c>
      <c r="F30" s="30">
        <f>+C30*D30*E30</f>
        <v>775</v>
      </c>
      <c r="G30" s="638"/>
      <c r="H30" s="635"/>
      <c r="I30" s="461" t="s">
        <v>407</v>
      </c>
      <c r="J30" s="455">
        <v>1</v>
      </c>
      <c r="K30" s="439">
        <f>IF(I30="",0,VLOOKUP(I30,$AI$10:$AJ$19,2))</f>
        <v>0.25</v>
      </c>
      <c r="L30" s="47">
        <f>$C$1</f>
        <v>3100</v>
      </c>
      <c r="M30" s="30">
        <f>+J30*K30*L30</f>
        <v>775</v>
      </c>
      <c r="O30" s="635"/>
      <c r="P30" s="461" t="s">
        <v>409</v>
      </c>
      <c r="Q30" s="455">
        <v>3</v>
      </c>
      <c r="R30" s="439">
        <f>IF(P30="",0,VLOOKUP(P30,$AI$10:$AJ$19,2))</f>
        <v>0.4</v>
      </c>
      <c r="S30" s="47">
        <f>$C$1</f>
        <v>3100</v>
      </c>
      <c r="T30" s="30">
        <f>+Q30*R30*S30</f>
        <v>3720.0000000000005</v>
      </c>
      <c r="V30" s="635"/>
      <c r="W30" s="477" t="s">
        <v>407</v>
      </c>
      <c r="X30" s="441">
        <v>1</v>
      </c>
      <c r="Y30" s="442">
        <f>IF(W30="",0,VLOOKUP(W30,$AI$10:$AJ$19,2))</f>
        <v>0.25</v>
      </c>
      <c r="Z30" s="18">
        <f>$C$1</f>
        <v>3100</v>
      </c>
      <c r="AA30" s="478">
        <f>+X30*Y30*Z30</f>
        <v>775</v>
      </c>
    </row>
    <row r="31" spans="1:36">
      <c r="B31" s="462" t="s">
        <v>408</v>
      </c>
      <c r="C31" s="456">
        <v>1</v>
      </c>
      <c r="D31" s="442">
        <f t="shared" ref="D31:D34" si="19">IF(B31="",0,VLOOKUP(B31,$AI$10:$AJ$19,2))</f>
        <v>0.6</v>
      </c>
      <c r="E31" s="18">
        <f t="shared" ref="E31:E34" si="20">$C$1</f>
        <v>3100</v>
      </c>
      <c r="F31" s="65">
        <f t="shared" ref="F31:F34" si="21">+C31*D31*E31</f>
        <v>1860</v>
      </c>
      <c r="G31" s="638"/>
      <c r="H31" s="635"/>
      <c r="I31" s="462" t="s">
        <v>408</v>
      </c>
      <c r="J31" s="456">
        <v>1</v>
      </c>
      <c r="K31" s="442">
        <f t="shared" ref="K31:K34" si="22">IF(I31="",0,VLOOKUP(I31,$AI$10:$AJ$19,2))</f>
        <v>0.6</v>
      </c>
      <c r="L31" s="18">
        <f t="shared" ref="L31:L34" si="23">$C$1</f>
        <v>3100</v>
      </c>
      <c r="M31" s="65">
        <f t="shared" ref="M31:M34" si="24">+J31*K31*L31</f>
        <v>1860</v>
      </c>
      <c r="O31" s="635"/>
      <c r="P31" s="462"/>
      <c r="Q31" s="456"/>
      <c r="R31" s="442">
        <f t="shared" ref="R31:R34" si="25">IF(P31="",0,VLOOKUP(P31,$AI$10:$AJ$19,2))</f>
        <v>0</v>
      </c>
      <c r="S31" s="18">
        <f t="shared" ref="S31:S34" si="26">$C$1</f>
        <v>3100</v>
      </c>
      <c r="T31" s="65">
        <f t="shared" ref="T31:T34" si="27">+Q31*R31*S31</f>
        <v>0</v>
      </c>
      <c r="V31" s="635"/>
      <c r="W31" s="477" t="s">
        <v>408</v>
      </c>
      <c r="X31" s="441">
        <v>1</v>
      </c>
      <c r="Y31" s="442">
        <f t="shared" ref="Y31:Y34" si="28">IF(W31="",0,VLOOKUP(W31,$AI$10:$AJ$19,2))</f>
        <v>0.6</v>
      </c>
      <c r="Z31" s="18">
        <f t="shared" ref="Z31:Z34" si="29">$C$1</f>
        <v>3100</v>
      </c>
      <c r="AA31" s="478">
        <f t="shared" ref="AA31:AA34" si="30">+X31*Y31*Z31</f>
        <v>1860</v>
      </c>
    </row>
    <row r="32" spans="1:36">
      <c r="B32" s="462" t="s">
        <v>409</v>
      </c>
      <c r="C32" s="456">
        <v>1</v>
      </c>
      <c r="D32" s="442">
        <f t="shared" si="19"/>
        <v>0.4</v>
      </c>
      <c r="E32" s="18">
        <f t="shared" si="20"/>
        <v>3100</v>
      </c>
      <c r="F32" s="65">
        <f t="shared" si="21"/>
        <v>1240</v>
      </c>
      <c r="G32" s="638"/>
      <c r="H32" s="635"/>
      <c r="I32" s="462" t="s">
        <v>409</v>
      </c>
      <c r="J32" s="456">
        <v>1</v>
      </c>
      <c r="K32" s="442">
        <f t="shared" si="22"/>
        <v>0.4</v>
      </c>
      <c r="L32" s="18">
        <f t="shared" si="23"/>
        <v>3100</v>
      </c>
      <c r="M32" s="65">
        <f t="shared" si="24"/>
        <v>1240</v>
      </c>
      <c r="O32" s="635"/>
      <c r="P32" s="462"/>
      <c r="Q32" s="456"/>
      <c r="R32" s="442">
        <f t="shared" si="25"/>
        <v>0</v>
      </c>
      <c r="S32" s="18">
        <f t="shared" si="26"/>
        <v>3100</v>
      </c>
      <c r="T32" s="65">
        <f t="shared" si="27"/>
        <v>0</v>
      </c>
      <c r="V32" s="635"/>
      <c r="W32" s="477" t="s">
        <v>411</v>
      </c>
      <c r="X32" s="441">
        <v>2</v>
      </c>
      <c r="Y32" s="442">
        <f t="shared" si="28"/>
        <v>0.35</v>
      </c>
      <c r="Z32" s="18">
        <f t="shared" si="29"/>
        <v>3100</v>
      </c>
      <c r="AA32" s="478">
        <f t="shared" si="30"/>
        <v>2170</v>
      </c>
    </row>
    <row r="33" spans="2:27">
      <c r="B33" s="462" t="s">
        <v>410</v>
      </c>
      <c r="C33" s="456">
        <v>1</v>
      </c>
      <c r="D33" s="442">
        <f t="shared" si="19"/>
        <v>0.5</v>
      </c>
      <c r="E33" s="18">
        <f t="shared" si="20"/>
        <v>3100</v>
      </c>
      <c r="F33" s="65">
        <f t="shared" si="21"/>
        <v>1550</v>
      </c>
      <c r="G33" s="638"/>
      <c r="H33" s="635"/>
      <c r="I33" s="462" t="s">
        <v>410</v>
      </c>
      <c r="J33" s="456">
        <v>1</v>
      </c>
      <c r="K33" s="442">
        <f t="shared" si="22"/>
        <v>0.5</v>
      </c>
      <c r="L33" s="18">
        <f t="shared" si="23"/>
        <v>3100</v>
      </c>
      <c r="M33" s="65">
        <f t="shared" si="24"/>
        <v>1550</v>
      </c>
      <c r="O33" s="635"/>
      <c r="P33" s="462"/>
      <c r="Q33" s="456"/>
      <c r="R33" s="442">
        <f t="shared" si="25"/>
        <v>0</v>
      </c>
      <c r="S33" s="18">
        <f t="shared" si="26"/>
        <v>3100</v>
      </c>
      <c r="T33" s="65">
        <f t="shared" si="27"/>
        <v>0</v>
      </c>
      <c r="V33" s="635"/>
      <c r="W33" s="477" t="s">
        <v>410</v>
      </c>
      <c r="X33" s="441"/>
      <c r="Y33" s="442">
        <f t="shared" si="28"/>
        <v>0.5</v>
      </c>
      <c r="Z33" s="18">
        <f t="shared" si="29"/>
        <v>3100</v>
      </c>
      <c r="AA33" s="478">
        <f t="shared" si="30"/>
        <v>0</v>
      </c>
    </row>
    <row r="34" spans="2:27" ht="18.600000000000001" thickBot="1">
      <c r="B34" s="466" t="s">
        <v>411</v>
      </c>
      <c r="C34" s="467">
        <v>1</v>
      </c>
      <c r="D34" s="468">
        <f t="shared" si="19"/>
        <v>0.35</v>
      </c>
      <c r="E34" s="469">
        <f t="shared" si="20"/>
        <v>3100</v>
      </c>
      <c r="F34" s="470">
        <f t="shared" si="21"/>
        <v>1085</v>
      </c>
      <c r="G34" s="638"/>
      <c r="H34" s="635"/>
      <c r="I34" s="466" t="s">
        <v>411</v>
      </c>
      <c r="J34" s="467">
        <v>1</v>
      </c>
      <c r="K34" s="468">
        <f t="shared" si="22"/>
        <v>0.35</v>
      </c>
      <c r="L34" s="469">
        <f t="shared" si="23"/>
        <v>3100</v>
      </c>
      <c r="M34" s="470">
        <f t="shared" si="24"/>
        <v>1085</v>
      </c>
      <c r="O34" s="635"/>
      <c r="P34" s="466"/>
      <c r="Q34" s="467"/>
      <c r="R34" s="468">
        <f t="shared" si="25"/>
        <v>0</v>
      </c>
      <c r="S34" s="469">
        <f t="shared" si="26"/>
        <v>3100</v>
      </c>
      <c r="T34" s="470">
        <f t="shared" si="27"/>
        <v>0</v>
      </c>
      <c r="V34" s="635"/>
      <c r="W34" s="477" t="s">
        <v>411</v>
      </c>
      <c r="X34" s="441"/>
      <c r="Y34" s="442">
        <f t="shared" si="28"/>
        <v>0.35</v>
      </c>
      <c r="Z34" s="18">
        <f t="shared" si="29"/>
        <v>3100</v>
      </c>
      <c r="AA34" s="478">
        <f t="shared" si="30"/>
        <v>0</v>
      </c>
    </row>
    <row r="35" spans="2:27">
      <c r="B35" s="673" t="s">
        <v>239</v>
      </c>
      <c r="C35" s="674" t="s">
        <v>379</v>
      </c>
      <c r="D35" s="675" t="s">
        <v>306</v>
      </c>
      <c r="E35" s="675" t="s">
        <v>378</v>
      </c>
      <c r="F35" s="675" t="s">
        <v>416</v>
      </c>
      <c r="G35" s="638"/>
      <c r="H35" s="635"/>
      <c r="I35" s="673" t="s">
        <v>239</v>
      </c>
      <c r="J35" s="674" t="s">
        <v>379</v>
      </c>
      <c r="K35" s="675" t="s">
        <v>306</v>
      </c>
      <c r="L35" s="675" t="s">
        <v>378</v>
      </c>
      <c r="M35" s="675" t="s">
        <v>416</v>
      </c>
      <c r="O35" s="635"/>
      <c r="P35" s="678" t="s">
        <v>377</v>
      </c>
      <c r="Q35" s="679" t="s">
        <v>379</v>
      </c>
      <c r="R35" s="679" t="s">
        <v>306</v>
      </c>
      <c r="S35" s="679" t="s">
        <v>378</v>
      </c>
      <c r="T35" s="680" t="s">
        <v>416</v>
      </c>
      <c r="V35" s="635"/>
      <c r="W35" s="684" t="s">
        <v>239</v>
      </c>
      <c r="X35" s="679" t="s">
        <v>379</v>
      </c>
      <c r="Y35" s="679" t="s">
        <v>306</v>
      </c>
      <c r="Z35" s="679" t="s">
        <v>378</v>
      </c>
      <c r="AA35" s="685" t="s">
        <v>416</v>
      </c>
    </row>
    <row r="36" spans="2:27">
      <c r="B36" s="471" t="s">
        <v>649</v>
      </c>
      <c r="C36" s="472">
        <v>10</v>
      </c>
      <c r="D36" s="652" t="s">
        <v>380</v>
      </c>
      <c r="E36" s="473">
        <v>244</v>
      </c>
      <c r="F36" s="30">
        <f>E36*C36</f>
        <v>2440</v>
      </c>
      <c r="G36" s="638"/>
      <c r="H36" s="635"/>
      <c r="I36" s="471" t="s">
        <v>384</v>
      </c>
      <c r="J36" s="472">
        <v>10</v>
      </c>
      <c r="K36" s="652" t="s">
        <v>380</v>
      </c>
      <c r="L36" s="473">
        <v>244</v>
      </c>
      <c r="M36" s="30">
        <f>L36*J36</f>
        <v>2440</v>
      </c>
      <c r="O36" s="635"/>
      <c r="P36" s="440"/>
      <c r="Q36" s="441"/>
      <c r="R36" s="441"/>
      <c r="S36" s="441"/>
      <c r="T36" s="65">
        <f>S36*Q36</f>
        <v>0</v>
      </c>
      <c r="V36" s="635"/>
      <c r="W36" s="480" t="s">
        <v>637</v>
      </c>
      <c r="X36" s="441">
        <v>50</v>
      </c>
      <c r="Y36" s="441" t="s">
        <v>380</v>
      </c>
      <c r="Z36" s="441">
        <v>210</v>
      </c>
      <c r="AA36" s="478">
        <f>Z36*X36</f>
        <v>10500</v>
      </c>
    </row>
    <row r="37" spans="2:27">
      <c r="B37" s="440" t="s">
        <v>304</v>
      </c>
      <c r="C37" s="456">
        <v>6</v>
      </c>
      <c r="D37" s="652" t="s">
        <v>380</v>
      </c>
      <c r="E37" s="441">
        <v>406</v>
      </c>
      <c r="F37" s="65">
        <f t="shared" ref="F37:F40" si="31">E37*C37</f>
        <v>2436</v>
      </c>
      <c r="G37" s="638"/>
      <c r="H37" s="635"/>
      <c r="I37" s="440" t="s">
        <v>303</v>
      </c>
      <c r="J37" s="456">
        <v>4</v>
      </c>
      <c r="K37" s="652" t="s">
        <v>380</v>
      </c>
      <c r="L37" s="441">
        <v>260</v>
      </c>
      <c r="M37" s="65">
        <f t="shared" ref="M37:M40" si="32">L37*J37</f>
        <v>1040</v>
      </c>
      <c r="O37" s="635"/>
      <c r="P37" s="440"/>
      <c r="Q37" s="441"/>
      <c r="R37" s="441"/>
      <c r="S37" s="441"/>
      <c r="T37" s="65">
        <f t="shared" ref="T37:T40" si="33">S37*Q37</f>
        <v>0</v>
      </c>
      <c r="V37" s="635"/>
      <c r="W37" s="480"/>
      <c r="X37" s="441"/>
      <c r="Y37" s="441"/>
      <c r="Z37" s="441"/>
      <c r="AA37" s="478">
        <f t="shared" ref="AA37:AA40" si="34">Z37*X37</f>
        <v>0</v>
      </c>
    </row>
    <row r="38" spans="2:27">
      <c r="B38" s="440"/>
      <c r="C38" s="456"/>
      <c r="D38" s="652"/>
      <c r="E38" s="441"/>
      <c r="F38" s="65">
        <f t="shared" si="31"/>
        <v>0</v>
      </c>
      <c r="G38" s="638"/>
      <c r="H38" s="635"/>
      <c r="I38" s="440" t="s">
        <v>304</v>
      </c>
      <c r="J38" s="456">
        <v>6</v>
      </c>
      <c r="K38" s="652" t="s">
        <v>380</v>
      </c>
      <c r="L38" s="441">
        <v>406</v>
      </c>
      <c r="M38" s="65">
        <f t="shared" si="32"/>
        <v>2436</v>
      </c>
      <c r="O38" s="635"/>
      <c r="P38" s="440"/>
      <c r="Q38" s="441"/>
      <c r="R38" s="441"/>
      <c r="S38" s="441"/>
      <c r="T38" s="65">
        <f t="shared" si="33"/>
        <v>0</v>
      </c>
      <c r="V38" s="635"/>
      <c r="W38" s="480"/>
      <c r="X38" s="441"/>
      <c r="Y38" s="441"/>
      <c r="Z38" s="441"/>
      <c r="AA38" s="478">
        <f t="shared" si="34"/>
        <v>0</v>
      </c>
    </row>
    <row r="39" spans="2:27">
      <c r="B39" s="440"/>
      <c r="C39" s="456"/>
      <c r="D39" s="536"/>
      <c r="E39" s="441"/>
      <c r="F39" s="65">
        <f t="shared" si="31"/>
        <v>0</v>
      </c>
      <c r="G39" s="638"/>
      <c r="H39" s="635"/>
      <c r="I39" s="440"/>
      <c r="J39" s="456"/>
      <c r="K39" s="536"/>
      <c r="L39" s="441"/>
      <c r="M39" s="65">
        <f t="shared" si="32"/>
        <v>0</v>
      </c>
      <c r="O39" s="635"/>
      <c r="P39" s="440"/>
      <c r="Q39" s="441"/>
      <c r="R39" s="441"/>
      <c r="S39" s="441"/>
      <c r="T39" s="65">
        <f t="shared" si="33"/>
        <v>0</v>
      </c>
      <c r="V39" s="635"/>
      <c r="W39" s="480"/>
      <c r="X39" s="441"/>
      <c r="Y39" s="441"/>
      <c r="Z39" s="441"/>
      <c r="AA39" s="478">
        <f t="shared" si="34"/>
        <v>0</v>
      </c>
    </row>
    <row r="40" spans="2:27" ht="18.600000000000001" thickBot="1">
      <c r="B40" s="443"/>
      <c r="C40" s="457"/>
      <c r="D40" s="653"/>
      <c r="E40" s="444"/>
      <c r="F40" s="415">
        <f t="shared" si="31"/>
        <v>0</v>
      </c>
      <c r="G40" s="638"/>
      <c r="H40" s="635"/>
      <c r="I40" s="443"/>
      <c r="J40" s="457"/>
      <c r="K40" s="653"/>
      <c r="L40" s="444"/>
      <c r="M40" s="415">
        <f t="shared" si="32"/>
        <v>0</v>
      </c>
      <c r="O40" s="635"/>
      <c r="P40" s="440"/>
      <c r="Q40" s="441"/>
      <c r="R40" s="441"/>
      <c r="S40" s="441"/>
      <c r="T40" s="65">
        <f t="shared" si="33"/>
        <v>0</v>
      </c>
      <c r="V40" s="635"/>
      <c r="W40" s="480"/>
      <c r="X40" s="441"/>
      <c r="Y40" s="441"/>
      <c r="Z40" s="441"/>
      <c r="AA40" s="478">
        <f t="shared" si="34"/>
        <v>0</v>
      </c>
    </row>
    <row r="41" spans="2:27" ht="18.600000000000001" thickBot="1">
      <c r="B41" s="675" t="s">
        <v>377</v>
      </c>
      <c r="C41" s="675" t="s">
        <v>379</v>
      </c>
      <c r="D41" s="675" t="s">
        <v>306</v>
      </c>
      <c r="E41" s="675" t="s">
        <v>378</v>
      </c>
      <c r="F41" s="675" t="s">
        <v>416</v>
      </c>
      <c r="G41" s="638"/>
      <c r="H41" s="635"/>
      <c r="I41" s="675" t="s">
        <v>377</v>
      </c>
      <c r="J41" s="675" t="s">
        <v>379</v>
      </c>
      <c r="K41" s="675" t="s">
        <v>306</v>
      </c>
      <c r="L41" s="675" t="s">
        <v>378</v>
      </c>
      <c r="M41" s="675" t="s">
        <v>416</v>
      </c>
      <c r="O41" s="635"/>
      <c r="P41" s="868" t="s">
        <v>391</v>
      </c>
      <c r="Q41" s="869"/>
      <c r="R41" s="869"/>
      <c r="S41" s="869"/>
      <c r="T41" s="447">
        <f>SUM(T30:T40)</f>
        <v>3720.0000000000005</v>
      </c>
      <c r="V41" s="635"/>
      <c r="W41" s="479" t="s">
        <v>377</v>
      </c>
      <c r="X41" s="446" t="s">
        <v>379</v>
      </c>
      <c r="Y41" s="446" t="s">
        <v>306</v>
      </c>
      <c r="Z41" s="446" t="s">
        <v>378</v>
      </c>
      <c r="AA41" s="685" t="s">
        <v>416</v>
      </c>
    </row>
    <row r="42" spans="2:27">
      <c r="B42" s="437" t="s">
        <v>363</v>
      </c>
      <c r="C42" s="438">
        <v>70</v>
      </c>
      <c r="D42" s="489" t="s">
        <v>380</v>
      </c>
      <c r="E42" s="438">
        <v>200</v>
      </c>
      <c r="F42" s="30">
        <f>+C42*E42</f>
        <v>14000</v>
      </c>
      <c r="G42" s="638"/>
      <c r="H42" s="635"/>
      <c r="I42" s="437" t="s">
        <v>363</v>
      </c>
      <c r="J42" s="438">
        <v>70</v>
      </c>
      <c r="K42" s="489" t="s">
        <v>380</v>
      </c>
      <c r="L42" s="438">
        <v>200</v>
      </c>
      <c r="M42" s="30">
        <f>+J42*L42</f>
        <v>14000</v>
      </c>
      <c r="O42" s="635"/>
      <c r="V42" s="635"/>
      <c r="W42" s="480" t="s">
        <v>633</v>
      </c>
      <c r="X42" s="465">
        <v>2</v>
      </c>
      <c r="Y42" s="441" t="s">
        <v>632</v>
      </c>
      <c r="Z42" s="441">
        <v>699</v>
      </c>
      <c r="AA42" s="478">
        <f>+X42*Z42</f>
        <v>1398</v>
      </c>
    </row>
    <row r="43" spans="2:27">
      <c r="B43" s="440"/>
      <c r="C43" s="441"/>
      <c r="D43" s="441"/>
      <c r="E43" s="441"/>
      <c r="F43" s="65">
        <f t="shared" ref="F43:F46" si="35">+C43*E43</f>
        <v>0</v>
      </c>
      <c r="G43" s="638"/>
      <c r="H43" s="635"/>
      <c r="I43" s="440" t="s">
        <v>633</v>
      </c>
      <c r="J43" s="441">
        <v>3</v>
      </c>
      <c r="K43" s="490" t="s">
        <v>632</v>
      </c>
      <c r="L43" s="441">
        <v>700</v>
      </c>
      <c r="M43" s="65">
        <f t="shared" ref="M43:M46" si="36">+J43*L43</f>
        <v>2100</v>
      </c>
      <c r="O43" s="635"/>
      <c r="V43" s="635"/>
      <c r="W43" s="480"/>
      <c r="X43" s="465"/>
      <c r="Y43" s="441"/>
      <c r="Z43" s="441"/>
      <c r="AA43" s="478">
        <f t="shared" ref="AA43:AA46" si="37">+X43*Z43</f>
        <v>0</v>
      </c>
    </row>
    <row r="44" spans="2:27">
      <c r="B44" s="440"/>
      <c r="C44" s="441"/>
      <c r="D44" s="441"/>
      <c r="E44" s="441"/>
      <c r="F44" s="65">
        <f t="shared" si="35"/>
        <v>0</v>
      </c>
      <c r="G44" s="638"/>
      <c r="H44" s="635"/>
      <c r="I44" s="440"/>
      <c r="J44" s="441"/>
      <c r="K44" s="441"/>
      <c r="L44" s="441"/>
      <c r="M44" s="65">
        <f t="shared" si="36"/>
        <v>0</v>
      </c>
      <c r="V44" s="635"/>
      <c r="W44" s="480"/>
      <c r="X44" s="465"/>
      <c r="Y44" s="441"/>
      <c r="Z44" s="441"/>
      <c r="AA44" s="478">
        <f t="shared" si="37"/>
        <v>0</v>
      </c>
    </row>
    <row r="45" spans="2:27">
      <c r="B45" s="440"/>
      <c r="C45" s="441"/>
      <c r="D45" s="441"/>
      <c r="E45" s="441"/>
      <c r="F45" s="65">
        <f t="shared" si="35"/>
        <v>0</v>
      </c>
      <c r="G45" s="638"/>
      <c r="H45" s="635"/>
      <c r="I45" s="440"/>
      <c r="J45" s="441"/>
      <c r="K45" s="441"/>
      <c r="L45" s="441"/>
      <c r="M45" s="65">
        <f t="shared" si="36"/>
        <v>0</v>
      </c>
      <c r="V45" s="635"/>
      <c r="W45" s="480"/>
      <c r="X45" s="465"/>
      <c r="Y45" s="441"/>
      <c r="Z45" s="441"/>
      <c r="AA45" s="478">
        <f t="shared" si="37"/>
        <v>0</v>
      </c>
    </row>
    <row r="46" spans="2:27" ht="18.600000000000001" thickBot="1">
      <c r="B46" s="443"/>
      <c r="C46" s="444"/>
      <c r="D46" s="444"/>
      <c r="E46" s="444"/>
      <c r="F46" s="415">
        <f t="shared" si="35"/>
        <v>0</v>
      </c>
      <c r="G46" s="638"/>
      <c r="H46" s="635"/>
      <c r="I46" s="443"/>
      <c r="J46" s="444"/>
      <c r="K46" s="444"/>
      <c r="L46" s="444"/>
      <c r="M46" s="415">
        <f t="shared" si="36"/>
        <v>0</v>
      </c>
      <c r="V46" s="635"/>
      <c r="W46" s="480"/>
      <c r="X46" s="465"/>
      <c r="Y46" s="441"/>
      <c r="Z46" s="441"/>
      <c r="AA46" s="478">
        <f t="shared" si="37"/>
        <v>0</v>
      </c>
    </row>
    <row r="47" spans="2:27" ht="18.600000000000001" thickBot="1">
      <c r="B47" s="874" t="s">
        <v>240</v>
      </c>
      <c r="C47" s="875"/>
      <c r="D47" s="875"/>
      <c r="E47" s="876"/>
      <c r="F47" s="6">
        <f>SUM(F30:F46)</f>
        <v>25386</v>
      </c>
      <c r="G47" s="638"/>
      <c r="H47" s="635"/>
      <c r="I47" s="874" t="s">
        <v>240</v>
      </c>
      <c r="J47" s="875"/>
      <c r="K47" s="875"/>
      <c r="L47" s="876"/>
      <c r="M47" s="6">
        <f>SUM(M30:M46)</f>
        <v>28526</v>
      </c>
      <c r="V47" s="635"/>
      <c r="W47" s="888" t="s">
        <v>240</v>
      </c>
      <c r="X47" s="889"/>
      <c r="Y47" s="889"/>
      <c r="Z47" s="889"/>
      <c r="AA47" s="650">
        <f>SUM(AA30:AA46)</f>
        <v>16703</v>
      </c>
    </row>
    <row r="48" spans="2:27" ht="18.600000000000001" thickBot="1">
      <c r="B48" s="874" t="s">
        <v>241</v>
      </c>
      <c r="C48" s="875"/>
      <c r="D48" s="875"/>
      <c r="E48" s="876"/>
      <c r="F48" s="13">
        <v>4</v>
      </c>
      <c r="G48" s="638"/>
      <c r="H48" s="635"/>
      <c r="I48" s="874" t="s">
        <v>241</v>
      </c>
      <c r="J48" s="875"/>
      <c r="K48" s="875"/>
      <c r="L48" s="876"/>
      <c r="M48" s="13">
        <v>4</v>
      </c>
      <c r="V48" s="635"/>
      <c r="W48" s="635"/>
      <c r="X48" s="635"/>
      <c r="Y48" s="635"/>
      <c r="Z48" s="635"/>
      <c r="AA48" s="635"/>
    </row>
    <row r="49" spans="1:27">
      <c r="G49" s="638"/>
      <c r="H49" s="635"/>
      <c r="L49" s="516"/>
      <c r="M49" s="516"/>
      <c r="V49" s="635"/>
      <c r="Z49" s="516"/>
      <c r="AA49" s="516"/>
    </row>
    <row r="50" spans="1:27" ht="18.600000000000001" thickBot="1">
      <c r="G50" s="638"/>
      <c r="H50" s="635"/>
      <c r="L50" s="516"/>
      <c r="M50" s="516"/>
      <c r="V50" s="635"/>
      <c r="Z50" s="516"/>
      <c r="AA50" s="516"/>
    </row>
    <row r="51" spans="1:27" ht="31.5" customHeight="1" thickBot="1">
      <c r="A51" s="654">
        <v>3</v>
      </c>
      <c r="B51" s="459" t="s">
        <v>647</v>
      </c>
      <c r="C51" s="454" t="s">
        <v>629</v>
      </c>
      <c r="D51" s="451">
        <v>18</v>
      </c>
      <c r="E51" s="448" t="s">
        <v>635</v>
      </c>
      <c r="F51" s="450">
        <v>2018</v>
      </c>
      <c r="G51" s="638"/>
      <c r="H51" s="654">
        <v>3</v>
      </c>
      <c r="I51" s="459" t="s">
        <v>305</v>
      </c>
      <c r="J51" s="454" t="s">
        <v>629</v>
      </c>
      <c r="K51" s="451">
        <v>4</v>
      </c>
      <c r="L51" s="448" t="s">
        <v>635</v>
      </c>
      <c r="M51" s="450">
        <v>2020</v>
      </c>
      <c r="V51" s="654">
        <v>3</v>
      </c>
      <c r="W51" s="452" t="s">
        <v>389</v>
      </c>
      <c r="X51" s="482" t="s">
        <v>631</v>
      </c>
      <c r="Y51" s="11">
        <v>25</v>
      </c>
      <c r="Z51" s="484" t="s">
        <v>630</v>
      </c>
      <c r="AA51" s="476">
        <v>2020</v>
      </c>
    </row>
    <row r="52" spans="1:27" ht="19.2" thickTop="1" thickBot="1">
      <c r="B52" s="460" t="s">
        <v>238</v>
      </c>
      <c r="C52" s="413" t="s">
        <v>375</v>
      </c>
      <c r="D52" s="12" t="s">
        <v>382</v>
      </c>
      <c r="E52" s="12" t="s">
        <v>381</v>
      </c>
      <c r="F52" s="12" t="s">
        <v>416</v>
      </c>
      <c r="G52" s="638"/>
      <c r="H52" s="635"/>
      <c r="I52" s="673" t="s">
        <v>238</v>
      </c>
      <c r="J52" s="674" t="s">
        <v>375</v>
      </c>
      <c r="K52" s="675" t="s">
        <v>382</v>
      </c>
      <c r="L52" s="675" t="s">
        <v>381</v>
      </c>
      <c r="M52" s="675" t="s">
        <v>416</v>
      </c>
      <c r="V52" s="635"/>
      <c r="W52" s="681" t="s">
        <v>238</v>
      </c>
      <c r="X52" s="682" t="s">
        <v>375</v>
      </c>
      <c r="Y52" s="682" t="s">
        <v>382</v>
      </c>
      <c r="Z52" s="682" t="s">
        <v>381</v>
      </c>
      <c r="AA52" s="683" t="s">
        <v>416</v>
      </c>
    </row>
    <row r="53" spans="1:27">
      <c r="B53" s="461" t="s">
        <v>407</v>
      </c>
      <c r="C53" s="455">
        <v>1</v>
      </c>
      <c r="D53" s="439">
        <f>IF(B53="",0,VLOOKUP(B53,$AI$10:$AJ$19,2))</f>
        <v>0.25</v>
      </c>
      <c r="E53" s="47">
        <f>$C$1</f>
        <v>3100</v>
      </c>
      <c r="F53" s="30">
        <f>+C53*D53*E53</f>
        <v>775</v>
      </c>
      <c r="G53" s="638"/>
      <c r="H53" s="635"/>
      <c r="I53" s="461" t="s">
        <v>407</v>
      </c>
      <c r="J53" s="455">
        <v>1</v>
      </c>
      <c r="K53" s="439">
        <f>IF(I53="",0,VLOOKUP(I53,$AI$10:$AJ$19,2))</f>
        <v>0.25</v>
      </c>
      <c r="L53" s="47">
        <f>$C$1</f>
        <v>3100</v>
      </c>
      <c r="M53" s="30">
        <f>+J53*K53*L53</f>
        <v>775</v>
      </c>
      <c r="V53" s="635"/>
      <c r="W53" s="477" t="s">
        <v>407</v>
      </c>
      <c r="X53" s="441">
        <v>1</v>
      </c>
      <c r="Y53" s="442">
        <f>IF(W53="",0,VLOOKUP(W53,$AI$10:$AJ$19,2))</f>
        <v>0.25</v>
      </c>
      <c r="Z53" s="18">
        <f>$C$1</f>
        <v>3100</v>
      </c>
      <c r="AA53" s="478">
        <f>+X53*Y53*Z53</f>
        <v>775</v>
      </c>
    </row>
    <row r="54" spans="1:27">
      <c r="B54" s="462" t="s">
        <v>408</v>
      </c>
      <c r="C54" s="456">
        <v>1</v>
      </c>
      <c r="D54" s="442">
        <f t="shared" ref="D54:D57" si="38">IF(B54="",0,VLOOKUP(B54,$AI$10:$AJ$19,2))</f>
        <v>0.6</v>
      </c>
      <c r="E54" s="18">
        <f t="shared" ref="E54:E57" si="39">$C$1</f>
        <v>3100</v>
      </c>
      <c r="F54" s="65">
        <f t="shared" ref="F54:F57" si="40">+C54*D54*E54</f>
        <v>1860</v>
      </c>
      <c r="G54" s="638"/>
      <c r="H54" s="635"/>
      <c r="I54" s="462" t="s">
        <v>408</v>
      </c>
      <c r="J54" s="456">
        <v>1</v>
      </c>
      <c r="K54" s="442">
        <f t="shared" ref="K54:K57" si="41">IF(I54="",0,VLOOKUP(I54,$AI$10:$AJ$19,2))</f>
        <v>0.6</v>
      </c>
      <c r="L54" s="18">
        <f t="shared" ref="L54:L57" si="42">$C$1</f>
        <v>3100</v>
      </c>
      <c r="M54" s="65">
        <f t="shared" ref="M54:M57" si="43">+J54*K54*L54</f>
        <v>1860</v>
      </c>
      <c r="V54" s="635"/>
      <c r="W54" s="477" t="s">
        <v>408</v>
      </c>
      <c r="X54" s="441">
        <v>1</v>
      </c>
      <c r="Y54" s="442">
        <f t="shared" ref="Y54:Y57" si="44">IF(W54="",0,VLOOKUP(W54,$AI$10:$AJ$19,2))</f>
        <v>0.6</v>
      </c>
      <c r="Z54" s="18">
        <f t="shared" ref="Z54:Z57" si="45">$C$1</f>
        <v>3100</v>
      </c>
      <c r="AA54" s="478">
        <f t="shared" ref="AA54:AA57" si="46">+X54*Y54*Z54</f>
        <v>1860</v>
      </c>
    </row>
    <row r="55" spans="1:27">
      <c r="B55" s="462" t="s">
        <v>409</v>
      </c>
      <c r="C55" s="456">
        <v>1</v>
      </c>
      <c r="D55" s="442">
        <f t="shared" si="38"/>
        <v>0.4</v>
      </c>
      <c r="E55" s="18">
        <f t="shared" si="39"/>
        <v>3100</v>
      </c>
      <c r="F55" s="65">
        <f t="shared" si="40"/>
        <v>1240</v>
      </c>
      <c r="G55" s="638"/>
      <c r="H55" s="635"/>
      <c r="I55" s="462" t="s">
        <v>409</v>
      </c>
      <c r="J55" s="456">
        <v>1</v>
      </c>
      <c r="K55" s="442">
        <f t="shared" si="41"/>
        <v>0.4</v>
      </c>
      <c r="L55" s="18">
        <f t="shared" si="42"/>
        <v>3100</v>
      </c>
      <c r="M55" s="65">
        <f t="shared" si="43"/>
        <v>1240</v>
      </c>
      <c r="V55" s="635"/>
      <c r="W55" s="477" t="s">
        <v>411</v>
      </c>
      <c r="X55" s="441">
        <v>2</v>
      </c>
      <c r="Y55" s="442">
        <f t="shared" si="44"/>
        <v>0.35</v>
      </c>
      <c r="Z55" s="18">
        <f t="shared" si="45"/>
        <v>3100</v>
      </c>
      <c r="AA55" s="478">
        <f t="shared" si="46"/>
        <v>2170</v>
      </c>
    </row>
    <row r="56" spans="1:27">
      <c r="B56" s="462" t="s">
        <v>410</v>
      </c>
      <c r="C56" s="456">
        <v>1</v>
      </c>
      <c r="D56" s="442">
        <f t="shared" si="38"/>
        <v>0.5</v>
      </c>
      <c r="E56" s="18">
        <f t="shared" si="39"/>
        <v>3100</v>
      </c>
      <c r="F56" s="65">
        <f t="shared" si="40"/>
        <v>1550</v>
      </c>
      <c r="G56" s="638"/>
      <c r="H56" s="635"/>
      <c r="I56" s="462" t="s">
        <v>410</v>
      </c>
      <c r="J56" s="456">
        <v>1</v>
      </c>
      <c r="K56" s="442">
        <f t="shared" si="41"/>
        <v>0.5</v>
      </c>
      <c r="L56" s="18">
        <f t="shared" si="42"/>
        <v>3100</v>
      </c>
      <c r="M56" s="65">
        <f t="shared" si="43"/>
        <v>1550</v>
      </c>
      <c r="V56" s="635"/>
      <c r="W56" s="477" t="s">
        <v>410</v>
      </c>
      <c r="X56" s="441"/>
      <c r="Y56" s="442">
        <f t="shared" si="44"/>
        <v>0.5</v>
      </c>
      <c r="Z56" s="18">
        <f t="shared" si="45"/>
        <v>3100</v>
      </c>
      <c r="AA56" s="478">
        <f t="shared" si="46"/>
        <v>0</v>
      </c>
    </row>
    <row r="57" spans="1:27" ht="18.600000000000001" thickBot="1">
      <c r="B57" s="466" t="s">
        <v>411</v>
      </c>
      <c r="C57" s="467">
        <v>1</v>
      </c>
      <c r="D57" s="468">
        <f t="shared" si="38"/>
        <v>0.35</v>
      </c>
      <c r="E57" s="469">
        <f t="shared" si="39"/>
        <v>3100</v>
      </c>
      <c r="F57" s="470">
        <f t="shared" si="40"/>
        <v>1085</v>
      </c>
      <c r="G57" s="638"/>
      <c r="H57" s="635"/>
      <c r="I57" s="466" t="s">
        <v>411</v>
      </c>
      <c r="J57" s="467">
        <v>1</v>
      </c>
      <c r="K57" s="468">
        <f t="shared" si="41"/>
        <v>0.35</v>
      </c>
      <c r="L57" s="469">
        <f t="shared" si="42"/>
        <v>3100</v>
      </c>
      <c r="M57" s="470">
        <f t="shared" si="43"/>
        <v>1085</v>
      </c>
      <c r="V57" s="635"/>
      <c r="W57" s="477" t="s">
        <v>411</v>
      </c>
      <c r="X57" s="441"/>
      <c r="Y57" s="442">
        <f t="shared" si="44"/>
        <v>0.35</v>
      </c>
      <c r="Z57" s="18">
        <f t="shared" si="45"/>
        <v>3100</v>
      </c>
      <c r="AA57" s="478">
        <f t="shared" si="46"/>
        <v>0</v>
      </c>
    </row>
    <row r="58" spans="1:27">
      <c r="B58" s="673" t="s">
        <v>239</v>
      </c>
      <c r="C58" s="674" t="s">
        <v>379</v>
      </c>
      <c r="D58" s="675" t="s">
        <v>306</v>
      </c>
      <c r="E58" s="675" t="s">
        <v>378</v>
      </c>
      <c r="F58" s="675" t="s">
        <v>416</v>
      </c>
      <c r="G58" s="638"/>
      <c r="H58" s="635"/>
      <c r="I58" s="673" t="s">
        <v>239</v>
      </c>
      <c r="J58" s="674" t="s">
        <v>379</v>
      </c>
      <c r="K58" s="675" t="s">
        <v>306</v>
      </c>
      <c r="L58" s="675" t="s">
        <v>378</v>
      </c>
      <c r="M58" s="675" t="s">
        <v>416</v>
      </c>
      <c r="V58" s="635"/>
      <c r="W58" s="684" t="s">
        <v>239</v>
      </c>
      <c r="X58" s="679" t="s">
        <v>379</v>
      </c>
      <c r="Y58" s="679" t="s">
        <v>306</v>
      </c>
      <c r="Z58" s="679" t="s">
        <v>378</v>
      </c>
      <c r="AA58" s="685" t="s">
        <v>416</v>
      </c>
    </row>
    <row r="59" spans="1:27">
      <c r="B59" s="471" t="s">
        <v>362</v>
      </c>
      <c r="C59" s="472">
        <v>10</v>
      </c>
      <c r="D59" s="652" t="s">
        <v>380</v>
      </c>
      <c r="E59" s="473">
        <v>244</v>
      </c>
      <c r="F59" s="30">
        <f>E59*C59</f>
        <v>2440</v>
      </c>
      <c r="G59" s="638"/>
      <c r="H59" s="635"/>
      <c r="I59" s="471" t="s">
        <v>302</v>
      </c>
      <c r="J59" s="472">
        <v>10</v>
      </c>
      <c r="K59" s="652" t="s">
        <v>380</v>
      </c>
      <c r="L59" s="473">
        <v>244</v>
      </c>
      <c r="M59" s="30">
        <f>L59*J59</f>
        <v>2440</v>
      </c>
      <c r="V59" s="635"/>
      <c r="W59" s="480" t="s">
        <v>638</v>
      </c>
      <c r="X59" s="441">
        <v>5</v>
      </c>
      <c r="Y59" s="490" t="s">
        <v>380</v>
      </c>
      <c r="Z59" s="441">
        <v>30</v>
      </c>
      <c r="AA59" s="478">
        <f>Z59*X59</f>
        <v>150</v>
      </c>
    </row>
    <row r="60" spans="1:27">
      <c r="B60" s="440"/>
      <c r="C60" s="456"/>
      <c r="D60" s="652"/>
      <c r="E60" s="441"/>
      <c r="F60" s="65">
        <f t="shared" ref="F60:F63" si="47">E60*C60</f>
        <v>0</v>
      </c>
      <c r="G60" s="638"/>
      <c r="H60" s="635"/>
      <c r="I60" s="440" t="s">
        <v>303</v>
      </c>
      <c r="J60" s="456">
        <v>4</v>
      </c>
      <c r="K60" s="652" t="s">
        <v>380</v>
      </c>
      <c r="L60" s="441">
        <v>260</v>
      </c>
      <c r="M60" s="65">
        <f t="shared" ref="M60:M63" si="48">L60*J60</f>
        <v>1040</v>
      </c>
      <c r="V60" s="635"/>
      <c r="W60" s="480"/>
      <c r="X60" s="441"/>
      <c r="Y60" s="490"/>
      <c r="Z60" s="441"/>
      <c r="AA60" s="478">
        <f t="shared" ref="AA60:AA63" si="49">Z60*X60</f>
        <v>0</v>
      </c>
    </row>
    <row r="61" spans="1:27">
      <c r="B61" s="440"/>
      <c r="C61" s="456"/>
      <c r="D61" s="652"/>
      <c r="E61" s="441"/>
      <c r="F61" s="65">
        <f t="shared" si="47"/>
        <v>0</v>
      </c>
      <c r="G61" s="638"/>
      <c r="H61" s="635"/>
      <c r="I61" s="440" t="s">
        <v>304</v>
      </c>
      <c r="J61" s="456">
        <v>6</v>
      </c>
      <c r="K61" s="652" t="s">
        <v>380</v>
      </c>
      <c r="L61" s="441">
        <v>406</v>
      </c>
      <c r="M61" s="65">
        <f t="shared" si="48"/>
        <v>2436</v>
      </c>
      <c r="V61" s="635"/>
      <c r="W61" s="480"/>
      <c r="X61" s="441"/>
      <c r="Y61" s="490"/>
      <c r="Z61" s="441"/>
      <c r="AA61" s="478">
        <f t="shared" si="49"/>
        <v>0</v>
      </c>
    </row>
    <row r="62" spans="1:27">
      <c r="B62" s="440"/>
      <c r="C62" s="456"/>
      <c r="D62" s="536"/>
      <c r="E62" s="441"/>
      <c r="F62" s="65">
        <f t="shared" si="47"/>
        <v>0</v>
      </c>
      <c r="G62" s="638"/>
      <c r="H62" s="635"/>
      <c r="I62" s="440"/>
      <c r="J62" s="456"/>
      <c r="K62" s="536"/>
      <c r="L62" s="441"/>
      <c r="M62" s="65">
        <f t="shared" si="48"/>
        <v>0</v>
      </c>
      <c r="V62" s="635"/>
      <c r="W62" s="480"/>
      <c r="X62" s="441"/>
      <c r="Y62" s="490"/>
      <c r="Z62" s="441"/>
      <c r="AA62" s="478">
        <f t="shared" si="49"/>
        <v>0</v>
      </c>
    </row>
    <row r="63" spans="1:27" ht="18.600000000000001" thickBot="1">
      <c r="B63" s="443"/>
      <c r="C63" s="457"/>
      <c r="D63" s="653"/>
      <c r="E63" s="444"/>
      <c r="F63" s="415">
        <f t="shared" si="47"/>
        <v>0</v>
      </c>
      <c r="G63" s="638"/>
      <c r="H63" s="635"/>
      <c r="I63" s="443"/>
      <c r="J63" s="457"/>
      <c r="K63" s="653"/>
      <c r="L63" s="444"/>
      <c r="M63" s="415">
        <f t="shared" si="48"/>
        <v>0</v>
      </c>
      <c r="V63" s="635"/>
      <c r="W63" s="480"/>
      <c r="X63" s="441"/>
      <c r="Y63" s="490"/>
      <c r="Z63" s="441"/>
      <c r="AA63" s="478">
        <f t="shared" si="49"/>
        <v>0</v>
      </c>
    </row>
    <row r="64" spans="1:27" ht="18.600000000000001" thickBot="1">
      <c r="B64" s="675" t="s">
        <v>377</v>
      </c>
      <c r="C64" s="675" t="s">
        <v>379</v>
      </c>
      <c r="D64" s="675" t="s">
        <v>306</v>
      </c>
      <c r="E64" s="675" t="s">
        <v>378</v>
      </c>
      <c r="F64" s="675" t="s">
        <v>416</v>
      </c>
      <c r="G64" s="638"/>
      <c r="H64" s="635"/>
      <c r="I64" s="675" t="s">
        <v>377</v>
      </c>
      <c r="J64" s="675" t="s">
        <v>379</v>
      </c>
      <c r="K64" s="675" t="s">
        <v>306</v>
      </c>
      <c r="L64" s="675" t="s">
        <v>378</v>
      </c>
      <c r="M64" s="675" t="s">
        <v>416</v>
      </c>
      <c r="V64" s="635"/>
      <c r="W64" s="684" t="s">
        <v>377</v>
      </c>
      <c r="X64" s="679" t="s">
        <v>379</v>
      </c>
      <c r="Y64" s="686" t="s">
        <v>306</v>
      </c>
      <c r="Z64" s="679" t="s">
        <v>378</v>
      </c>
      <c r="AA64" s="685" t="s">
        <v>416</v>
      </c>
    </row>
    <row r="65" spans="1:27">
      <c r="B65" s="437" t="s">
        <v>363</v>
      </c>
      <c r="C65" s="438">
        <v>70</v>
      </c>
      <c r="D65" s="489" t="s">
        <v>380</v>
      </c>
      <c r="E65" s="438">
        <v>200</v>
      </c>
      <c r="F65" s="30">
        <f>+C65*E65</f>
        <v>14000</v>
      </c>
      <c r="G65" s="638"/>
      <c r="H65" s="635"/>
      <c r="I65" s="437" t="s">
        <v>363</v>
      </c>
      <c r="J65" s="438">
        <v>70</v>
      </c>
      <c r="K65" s="489" t="s">
        <v>380</v>
      </c>
      <c r="L65" s="438">
        <v>200</v>
      </c>
      <c r="M65" s="30">
        <f>+J65*L65</f>
        <v>14000</v>
      </c>
      <c r="V65" s="635"/>
      <c r="W65" s="480" t="s">
        <v>636</v>
      </c>
      <c r="X65" s="465">
        <v>2</v>
      </c>
      <c r="Y65" s="490" t="s">
        <v>632</v>
      </c>
      <c r="Z65" s="441">
        <v>699</v>
      </c>
      <c r="AA65" s="478">
        <f>+X65*Z65</f>
        <v>1398</v>
      </c>
    </row>
    <row r="66" spans="1:27">
      <c r="B66" s="440" t="s">
        <v>636</v>
      </c>
      <c r="C66" s="441">
        <v>3</v>
      </c>
      <c r="D66" s="490" t="s">
        <v>632</v>
      </c>
      <c r="E66" s="441">
        <v>700</v>
      </c>
      <c r="F66" s="65">
        <f t="shared" ref="F66:F69" si="50">+C66*E66</f>
        <v>2100</v>
      </c>
      <c r="G66" s="638"/>
      <c r="H66" s="635"/>
      <c r="I66" s="440" t="s">
        <v>636</v>
      </c>
      <c r="J66" s="441">
        <v>3</v>
      </c>
      <c r="K66" s="490" t="s">
        <v>632</v>
      </c>
      <c r="L66" s="441">
        <v>700</v>
      </c>
      <c r="M66" s="65">
        <f t="shared" ref="M66:M69" si="51">+J66*L66</f>
        <v>2100</v>
      </c>
      <c r="V66" s="635"/>
      <c r="W66" s="480"/>
      <c r="X66" s="465"/>
      <c r="Y66" s="490"/>
      <c r="Z66" s="441"/>
      <c r="AA66" s="478">
        <f t="shared" ref="AA66:AA69" si="52">+X66*Z66</f>
        <v>0</v>
      </c>
    </row>
    <row r="67" spans="1:27">
      <c r="B67" s="440"/>
      <c r="C67" s="441"/>
      <c r="D67" s="441"/>
      <c r="E67" s="441"/>
      <c r="F67" s="65">
        <f t="shared" si="50"/>
        <v>0</v>
      </c>
      <c r="G67" s="638"/>
      <c r="H67" s="635"/>
      <c r="I67" s="440"/>
      <c r="J67" s="441"/>
      <c r="K67" s="441"/>
      <c r="L67" s="441"/>
      <c r="M67" s="65">
        <f t="shared" si="51"/>
        <v>0</v>
      </c>
      <c r="V67" s="635"/>
      <c r="W67" s="480"/>
      <c r="X67" s="465"/>
      <c r="Y67" s="490"/>
      <c r="Z67" s="441"/>
      <c r="AA67" s="478">
        <f t="shared" si="52"/>
        <v>0</v>
      </c>
    </row>
    <row r="68" spans="1:27">
      <c r="B68" s="440"/>
      <c r="C68" s="441"/>
      <c r="D68" s="441"/>
      <c r="E68" s="441"/>
      <c r="F68" s="65">
        <f t="shared" si="50"/>
        <v>0</v>
      </c>
      <c r="G68" s="638"/>
      <c r="H68" s="635"/>
      <c r="I68" s="440"/>
      <c r="J68" s="441"/>
      <c r="K68" s="441"/>
      <c r="L68" s="441"/>
      <c r="M68" s="65">
        <f t="shared" si="51"/>
        <v>0</v>
      </c>
      <c r="V68" s="635"/>
      <c r="W68" s="480"/>
      <c r="X68" s="465"/>
      <c r="Y68" s="490"/>
      <c r="Z68" s="441"/>
      <c r="AA68" s="478">
        <f t="shared" si="52"/>
        <v>0</v>
      </c>
    </row>
    <row r="69" spans="1:27" ht="18.600000000000001" thickBot="1">
      <c r="B69" s="443"/>
      <c r="C69" s="444"/>
      <c r="D69" s="444"/>
      <c r="E69" s="444"/>
      <c r="F69" s="415">
        <f t="shared" si="50"/>
        <v>0</v>
      </c>
      <c r="G69" s="638"/>
      <c r="H69" s="635"/>
      <c r="I69" s="443"/>
      <c r="J69" s="444"/>
      <c r="K69" s="444"/>
      <c r="L69" s="444"/>
      <c r="M69" s="415">
        <f t="shared" si="51"/>
        <v>0</v>
      </c>
      <c r="V69" s="635"/>
      <c r="W69" s="480"/>
      <c r="X69" s="465"/>
      <c r="Y69" s="490"/>
      <c r="Z69" s="441"/>
      <c r="AA69" s="478">
        <f t="shared" si="52"/>
        <v>0</v>
      </c>
    </row>
    <row r="70" spans="1:27" ht="18.600000000000001" thickBot="1">
      <c r="B70" s="874" t="s">
        <v>240</v>
      </c>
      <c r="C70" s="875"/>
      <c r="D70" s="875"/>
      <c r="E70" s="876"/>
      <c r="F70" s="6">
        <f>SUM(F53:F69)</f>
        <v>25050</v>
      </c>
      <c r="G70" s="638"/>
      <c r="H70" s="635"/>
      <c r="I70" s="874" t="s">
        <v>240</v>
      </c>
      <c r="J70" s="875"/>
      <c r="K70" s="875"/>
      <c r="L70" s="876"/>
      <c r="M70" s="6">
        <f>SUM(M53:M69)</f>
        <v>28526</v>
      </c>
      <c r="V70" s="635"/>
      <c r="W70" s="886" t="s">
        <v>240</v>
      </c>
      <c r="X70" s="887"/>
      <c r="Y70" s="887"/>
      <c r="Z70" s="887"/>
      <c r="AA70" s="481">
        <f>SUM(AA53:AA69)</f>
        <v>6353</v>
      </c>
    </row>
    <row r="71" spans="1:27" ht="18.600000000000001" thickBot="1">
      <c r="B71" s="874" t="s">
        <v>241</v>
      </c>
      <c r="C71" s="875"/>
      <c r="D71" s="875"/>
      <c r="E71" s="876"/>
      <c r="F71" s="13">
        <v>4</v>
      </c>
      <c r="G71" s="638"/>
      <c r="H71" s="635"/>
      <c r="I71" s="874" t="s">
        <v>241</v>
      </c>
      <c r="J71" s="875"/>
      <c r="K71" s="875"/>
      <c r="L71" s="876"/>
      <c r="M71" s="13">
        <v>4</v>
      </c>
      <c r="V71" s="635"/>
      <c r="W71" s="635"/>
      <c r="X71" s="635"/>
      <c r="Y71" s="635"/>
      <c r="Z71" s="635"/>
      <c r="AA71" s="635"/>
    </row>
    <row r="72" spans="1:27">
      <c r="G72" s="638"/>
    </row>
    <row r="73" spans="1:27" ht="18.600000000000001" thickBot="1">
      <c r="G73" s="638"/>
    </row>
    <row r="74" spans="1:27" ht="30.75" customHeight="1" thickBot="1">
      <c r="A74" s="655">
        <v>4</v>
      </c>
      <c r="B74" s="459" t="s">
        <v>647</v>
      </c>
      <c r="C74" s="454" t="s">
        <v>629</v>
      </c>
      <c r="D74" s="451">
        <v>18</v>
      </c>
      <c r="E74" s="448" t="s">
        <v>635</v>
      </c>
      <c r="F74" s="450">
        <v>2018</v>
      </c>
      <c r="G74" s="638"/>
      <c r="V74" s="651">
        <v>4</v>
      </c>
      <c r="W74" s="452"/>
      <c r="X74" s="482" t="s">
        <v>631</v>
      </c>
      <c r="Y74" s="11"/>
      <c r="Z74" s="484" t="s">
        <v>630</v>
      </c>
      <c r="AA74" s="476">
        <v>2020</v>
      </c>
    </row>
    <row r="75" spans="1:27" ht="19.2" thickTop="1" thickBot="1">
      <c r="B75" s="673" t="s">
        <v>238</v>
      </c>
      <c r="C75" s="674" t="s">
        <v>375</v>
      </c>
      <c r="D75" s="675" t="s">
        <v>382</v>
      </c>
      <c r="E75" s="675" t="s">
        <v>381</v>
      </c>
      <c r="F75" s="675" t="s">
        <v>416</v>
      </c>
      <c r="G75" s="638"/>
      <c r="V75" s="635"/>
      <c r="W75" s="681" t="s">
        <v>238</v>
      </c>
      <c r="X75" s="682" t="s">
        <v>375</v>
      </c>
      <c r="Y75" s="682" t="s">
        <v>382</v>
      </c>
      <c r="Z75" s="682" t="s">
        <v>381</v>
      </c>
      <c r="AA75" s="683" t="s">
        <v>416</v>
      </c>
    </row>
    <row r="76" spans="1:27">
      <c r="B76" s="461" t="s">
        <v>407</v>
      </c>
      <c r="C76" s="455">
        <v>1</v>
      </c>
      <c r="D76" s="439">
        <f>IF(B76="",0,VLOOKUP(B76,$AI$10:$AJ$19,2))</f>
        <v>0.25</v>
      </c>
      <c r="E76" s="47">
        <f>$C$1</f>
        <v>3100</v>
      </c>
      <c r="F76" s="30">
        <f>+C76*D76*E76</f>
        <v>775</v>
      </c>
      <c r="G76" s="638"/>
      <c r="V76" s="635"/>
      <c r="W76" s="477"/>
      <c r="X76" s="441"/>
      <c r="Y76" s="442">
        <f>IF(W76="",0,VLOOKUP(W76,$AI$10:$AJ$19,2))</f>
        <v>0</v>
      </c>
      <c r="Z76" s="18">
        <f>$C$1</f>
        <v>3100</v>
      </c>
      <c r="AA76" s="478">
        <f>+X76*Y76*Z76</f>
        <v>0</v>
      </c>
    </row>
    <row r="77" spans="1:27">
      <c r="B77" s="462" t="s">
        <v>408</v>
      </c>
      <c r="C77" s="456">
        <v>1</v>
      </c>
      <c r="D77" s="442">
        <f t="shared" ref="D77:D80" si="53">IF(B77="",0,VLOOKUP(B77,$AI$10:$AJ$19,2))</f>
        <v>0.6</v>
      </c>
      <c r="E77" s="18">
        <f t="shared" ref="E77:E80" si="54">$C$1</f>
        <v>3100</v>
      </c>
      <c r="F77" s="65">
        <f t="shared" ref="F77:F80" si="55">+C77*D77*E77</f>
        <v>1860</v>
      </c>
      <c r="G77" s="638"/>
      <c r="V77" s="635"/>
      <c r="W77" s="477"/>
      <c r="X77" s="441"/>
      <c r="Y77" s="442">
        <f t="shared" ref="Y77:Y80" si="56">IF(W77="",0,VLOOKUP(W77,$AI$10:$AJ$19,2))</f>
        <v>0</v>
      </c>
      <c r="Z77" s="18">
        <f t="shared" ref="Z77:Z80" si="57">$C$1</f>
        <v>3100</v>
      </c>
      <c r="AA77" s="478">
        <f t="shared" ref="AA77:AA80" si="58">+X77*Y77*Z77</f>
        <v>0</v>
      </c>
    </row>
    <row r="78" spans="1:27">
      <c r="B78" s="462" t="s">
        <v>409</v>
      </c>
      <c r="C78" s="456">
        <v>1</v>
      </c>
      <c r="D78" s="442">
        <f t="shared" si="53"/>
        <v>0.4</v>
      </c>
      <c r="E78" s="18">
        <f t="shared" si="54"/>
        <v>3100</v>
      </c>
      <c r="F78" s="65">
        <f t="shared" si="55"/>
        <v>1240</v>
      </c>
      <c r="G78" s="638"/>
      <c r="V78" s="635"/>
      <c r="W78" s="477"/>
      <c r="X78" s="441"/>
      <c r="Y78" s="442">
        <f t="shared" si="56"/>
        <v>0</v>
      </c>
      <c r="Z78" s="18">
        <f t="shared" si="57"/>
        <v>3100</v>
      </c>
      <c r="AA78" s="478">
        <f t="shared" si="58"/>
        <v>0</v>
      </c>
    </row>
    <row r="79" spans="1:27">
      <c r="B79" s="462" t="s">
        <v>410</v>
      </c>
      <c r="C79" s="456">
        <v>1</v>
      </c>
      <c r="D79" s="442">
        <f t="shared" si="53"/>
        <v>0.5</v>
      </c>
      <c r="E79" s="18">
        <f t="shared" si="54"/>
        <v>3100</v>
      </c>
      <c r="F79" s="65">
        <f t="shared" si="55"/>
        <v>1550</v>
      </c>
      <c r="G79" s="638"/>
      <c r="V79" s="635"/>
      <c r="W79" s="477"/>
      <c r="X79" s="441"/>
      <c r="Y79" s="442">
        <f t="shared" si="56"/>
        <v>0</v>
      </c>
      <c r="Z79" s="18">
        <f t="shared" si="57"/>
        <v>3100</v>
      </c>
      <c r="AA79" s="478">
        <f t="shared" si="58"/>
        <v>0</v>
      </c>
    </row>
    <row r="80" spans="1:27" ht="18.600000000000001" thickBot="1">
      <c r="B80" s="466" t="s">
        <v>411</v>
      </c>
      <c r="C80" s="467">
        <v>1</v>
      </c>
      <c r="D80" s="468">
        <f t="shared" si="53"/>
        <v>0.35</v>
      </c>
      <c r="E80" s="469">
        <f t="shared" si="54"/>
        <v>3100</v>
      </c>
      <c r="F80" s="470">
        <f t="shared" si="55"/>
        <v>1085</v>
      </c>
      <c r="G80" s="638"/>
      <c r="V80" s="635"/>
      <c r="W80" s="477"/>
      <c r="X80" s="441"/>
      <c r="Y80" s="442">
        <f t="shared" si="56"/>
        <v>0</v>
      </c>
      <c r="Z80" s="18">
        <f t="shared" si="57"/>
        <v>3100</v>
      </c>
      <c r="AA80" s="478">
        <f t="shared" si="58"/>
        <v>0</v>
      </c>
    </row>
    <row r="81" spans="2:27">
      <c r="B81" s="673" t="s">
        <v>239</v>
      </c>
      <c r="C81" s="674" t="s">
        <v>379</v>
      </c>
      <c r="D81" s="675" t="s">
        <v>306</v>
      </c>
      <c r="E81" s="675" t="s">
        <v>378</v>
      </c>
      <c r="F81" s="675" t="s">
        <v>416</v>
      </c>
      <c r="G81" s="638"/>
      <c r="V81" s="635"/>
      <c r="W81" s="684" t="s">
        <v>239</v>
      </c>
      <c r="X81" s="679" t="s">
        <v>379</v>
      </c>
      <c r="Y81" s="679" t="s">
        <v>306</v>
      </c>
      <c r="Z81" s="679" t="s">
        <v>378</v>
      </c>
      <c r="AA81" s="685" t="s">
        <v>416</v>
      </c>
    </row>
    <row r="82" spans="2:27">
      <c r="B82" s="471" t="s">
        <v>362</v>
      </c>
      <c r="C82" s="472">
        <v>10</v>
      </c>
      <c r="D82" s="652" t="s">
        <v>380</v>
      </c>
      <c r="E82" s="473">
        <v>244</v>
      </c>
      <c r="F82" s="30">
        <f>E82*C82</f>
        <v>2440</v>
      </c>
      <c r="G82" s="638"/>
      <c r="V82" s="635"/>
      <c r="W82" s="480"/>
      <c r="X82" s="441"/>
      <c r="Y82" s="490"/>
      <c r="Z82" s="441"/>
      <c r="AA82" s="478">
        <f>Z82*X82</f>
        <v>0</v>
      </c>
    </row>
    <row r="83" spans="2:27">
      <c r="B83" s="440"/>
      <c r="C83" s="456"/>
      <c r="D83" s="652"/>
      <c r="E83" s="441"/>
      <c r="F83" s="65">
        <f t="shared" ref="F83:F86" si="59">E83*C83</f>
        <v>0</v>
      </c>
      <c r="G83" s="638"/>
      <c r="V83" s="635"/>
      <c r="W83" s="480"/>
      <c r="X83" s="441"/>
      <c r="Y83" s="490"/>
      <c r="Z83" s="441"/>
      <c r="AA83" s="478">
        <f t="shared" ref="AA83:AA86" si="60">Z83*X83</f>
        <v>0</v>
      </c>
    </row>
    <row r="84" spans="2:27">
      <c r="B84" s="440"/>
      <c r="C84" s="456"/>
      <c r="D84" s="652"/>
      <c r="E84" s="441"/>
      <c r="F84" s="65">
        <f t="shared" si="59"/>
        <v>0</v>
      </c>
      <c r="G84" s="638"/>
      <c r="V84" s="635"/>
      <c r="W84" s="480"/>
      <c r="X84" s="441"/>
      <c r="Y84" s="490"/>
      <c r="Z84" s="441"/>
      <c r="AA84" s="478">
        <f t="shared" si="60"/>
        <v>0</v>
      </c>
    </row>
    <row r="85" spans="2:27">
      <c r="B85" s="440"/>
      <c r="C85" s="456"/>
      <c r="D85" s="536"/>
      <c r="E85" s="441"/>
      <c r="F85" s="65">
        <f t="shared" si="59"/>
        <v>0</v>
      </c>
      <c r="G85" s="638"/>
      <c r="V85" s="635"/>
      <c r="W85" s="480"/>
      <c r="X85" s="441"/>
      <c r="Y85" s="490"/>
      <c r="Z85" s="441"/>
      <c r="AA85" s="478">
        <f t="shared" si="60"/>
        <v>0</v>
      </c>
    </row>
    <row r="86" spans="2:27" ht="18.600000000000001" thickBot="1">
      <c r="B86" s="443"/>
      <c r="C86" s="457"/>
      <c r="D86" s="653"/>
      <c r="E86" s="444"/>
      <c r="F86" s="415">
        <f t="shared" si="59"/>
        <v>0</v>
      </c>
      <c r="G86" s="638"/>
      <c r="V86" s="635"/>
      <c r="W86" s="480"/>
      <c r="X86" s="441"/>
      <c r="Y86" s="490"/>
      <c r="Z86" s="441"/>
      <c r="AA86" s="478">
        <f t="shared" si="60"/>
        <v>0</v>
      </c>
    </row>
    <row r="87" spans="2:27" ht="18.600000000000001" thickBot="1">
      <c r="B87" s="675" t="s">
        <v>377</v>
      </c>
      <c r="C87" s="675" t="s">
        <v>379</v>
      </c>
      <c r="D87" s="675" t="s">
        <v>306</v>
      </c>
      <c r="E87" s="675" t="s">
        <v>378</v>
      </c>
      <c r="F87" s="675" t="s">
        <v>416</v>
      </c>
      <c r="G87" s="638"/>
      <c r="V87" s="635"/>
      <c r="W87" s="684" t="s">
        <v>377</v>
      </c>
      <c r="X87" s="679" t="s">
        <v>379</v>
      </c>
      <c r="Y87" s="686" t="s">
        <v>306</v>
      </c>
      <c r="Z87" s="679" t="s">
        <v>378</v>
      </c>
      <c r="AA87" s="685" t="s">
        <v>416</v>
      </c>
    </row>
    <row r="88" spans="2:27">
      <c r="B88" s="437" t="s">
        <v>363</v>
      </c>
      <c r="C88" s="438">
        <v>70</v>
      </c>
      <c r="D88" s="489" t="s">
        <v>380</v>
      </c>
      <c r="E88" s="438">
        <v>200</v>
      </c>
      <c r="F88" s="30">
        <f>+C88*E88</f>
        <v>14000</v>
      </c>
      <c r="G88" s="638"/>
      <c r="V88" s="635"/>
      <c r="W88" s="480"/>
      <c r="X88" s="465"/>
      <c r="Y88" s="490"/>
      <c r="Z88" s="441">
        <v>699</v>
      </c>
      <c r="AA88" s="478">
        <f>+X88*Z88</f>
        <v>0</v>
      </c>
    </row>
    <row r="89" spans="2:27">
      <c r="B89" s="440" t="s">
        <v>636</v>
      </c>
      <c r="C89" s="441">
        <v>3</v>
      </c>
      <c r="D89" s="490" t="s">
        <v>632</v>
      </c>
      <c r="E89" s="441">
        <v>700</v>
      </c>
      <c r="F89" s="65">
        <f t="shared" ref="F89:F92" si="61">+C89*E89</f>
        <v>2100</v>
      </c>
      <c r="G89" s="638"/>
      <c r="V89" s="635"/>
      <c r="W89" s="480"/>
      <c r="X89" s="465"/>
      <c r="Y89" s="490"/>
      <c r="Z89" s="441"/>
      <c r="AA89" s="478">
        <f t="shared" ref="AA89:AA92" si="62">+X89*Z89</f>
        <v>0</v>
      </c>
    </row>
    <row r="90" spans="2:27">
      <c r="B90" s="440"/>
      <c r="C90" s="441"/>
      <c r="D90" s="441"/>
      <c r="E90" s="441"/>
      <c r="F90" s="65">
        <f t="shared" si="61"/>
        <v>0</v>
      </c>
      <c r="G90" s="638"/>
      <c r="V90" s="635"/>
      <c r="W90" s="480"/>
      <c r="X90" s="465"/>
      <c r="Y90" s="490"/>
      <c r="Z90" s="441"/>
      <c r="AA90" s="478">
        <f t="shared" si="62"/>
        <v>0</v>
      </c>
    </row>
    <row r="91" spans="2:27">
      <c r="B91" s="440"/>
      <c r="C91" s="441"/>
      <c r="D91" s="441"/>
      <c r="E91" s="441"/>
      <c r="F91" s="65">
        <f t="shared" si="61"/>
        <v>0</v>
      </c>
      <c r="G91" s="638"/>
      <c r="V91" s="635"/>
      <c r="W91" s="480"/>
      <c r="X91" s="465"/>
      <c r="Y91" s="490"/>
      <c r="Z91" s="441"/>
      <c r="AA91" s="478">
        <f t="shared" si="62"/>
        <v>0</v>
      </c>
    </row>
    <row r="92" spans="2:27" ht="18.600000000000001" thickBot="1">
      <c r="B92" s="443"/>
      <c r="C92" s="444"/>
      <c r="D92" s="444"/>
      <c r="E92" s="444"/>
      <c r="F92" s="415">
        <f t="shared" si="61"/>
        <v>0</v>
      </c>
      <c r="G92" s="638"/>
      <c r="V92" s="635"/>
      <c r="W92" s="480"/>
      <c r="X92" s="465"/>
      <c r="Y92" s="490"/>
      <c r="Z92" s="441"/>
      <c r="AA92" s="478">
        <f t="shared" si="62"/>
        <v>0</v>
      </c>
    </row>
    <row r="93" spans="2:27" ht="18.600000000000001" thickBot="1">
      <c r="B93" s="874" t="s">
        <v>240</v>
      </c>
      <c r="C93" s="875"/>
      <c r="D93" s="875"/>
      <c r="E93" s="876"/>
      <c r="F93" s="6">
        <f>SUM(F76:F92)</f>
        <v>25050</v>
      </c>
      <c r="G93" s="638"/>
      <c r="V93" s="635"/>
      <c r="W93" s="886" t="s">
        <v>240</v>
      </c>
      <c r="X93" s="887"/>
      <c r="Y93" s="887"/>
      <c r="Z93" s="887"/>
      <c r="AA93" s="481">
        <f>SUM(AA76:AA92)</f>
        <v>0</v>
      </c>
    </row>
    <row r="94" spans="2:27" ht="18.600000000000001" thickBot="1">
      <c r="B94" s="874" t="s">
        <v>241</v>
      </c>
      <c r="C94" s="875"/>
      <c r="D94" s="875"/>
      <c r="E94" s="876"/>
      <c r="F94" s="13">
        <v>4</v>
      </c>
      <c r="G94" s="638"/>
    </row>
    <row r="95" spans="2:27" ht="18.600000000000001" thickBot="1">
      <c r="G95" s="638"/>
    </row>
    <row r="96" spans="2:27" ht="21" thickBot="1">
      <c r="G96" s="638"/>
      <c r="W96" s="877" t="s">
        <v>639</v>
      </c>
      <c r="X96" s="878"/>
      <c r="Y96" s="878"/>
      <c r="Z96" s="879"/>
      <c r="AA96" s="6">
        <f>+AA24*Y5+AA47*Y28+AA70*Y51+AA93*Y74</f>
        <v>418614</v>
      </c>
    </row>
    <row r="97" spans="1:9" ht="30" customHeight="1" thickBot="1">
      <c r="A97" s="656">
        <v>5</v>
      </c>
      <c r="B97" s="459" t="s">
        <v>648</v>
      </c>
      <c r="C97" s="454" t="s">
        <v>629</v>
      </c>
      <c r="D97" s="451">
        <v>22</v>
      </c>
      <c r="E97" s="448" t="s">
        <v>635</v>
      </c>
      <c r="F97" s="450">
        <v>2018</v>
      </c>
      <c r="G97" s="638"/>
    </row>
    <row r="98" spans="1:9" ht="18.600000000000001" thickBot="1">
      <c r="B98" s="673" t="s">
        <v>238</v>
      </c>
      <c r="C98" s="674" t="s">
        <v>375</v>
      </c>
      <c r="D98" s="675" t="s">
        <v>382</v>
      </c>
      <c r="E98" s="675" t="s">
        <v>381</v>
      </c>
      <c r="F98" s="675" t="s">
        <v>416</v>
      </c>
      <c r="G98" s="638"/>
      <c r="I98" s="518"/>
    </row>
    <row r="99" spans="1:9">
      <c r="B99" s="461" t="s">
        <v>407</v>
      </c>
      <c r="C99" s="455">
        <v>1</v>
      </c>
      <c r="D99" s="439">
        <f>IF(B99="",0,VLOOKUP(B99,$AI$10:$AJ$19,2))</f>
        <v>0.25</v>
      </c>
      <c r="E99" s="47">
        <f>$C$1</f>
        <v>3100</v>
      </c>
      <c r="F99" s="30">
        <f>+C99*D99*E99</f>
        <v>775</v>
      </c>
      <c r="G99" s="638"/>
      <c r="I99" s="518"/>
    </row>
    <row r="100" spans="1:9">
      <c r="B100" s="462" t="s">
        <v>408</v>
      </c>
      <c r="C100" s="456">
        <v>1</v>
      </c>
      <c r="D100" s="442">
        <f t="shared" ref="D100:D103" si="63">IF(B100="",0,VLOOKUP(B100,$AI$10:$AJ$19,2))</f>
        <v>0.6</v>
      </c>
      <c r="E100" s="18">
        <f t="shared" ref="E100:E103" si="64">$C$1</f>
        <v>3100</v>
      </c>
      <c r="F100" s="65">
        <f t="shared" ref="F100:F103" si="65">+C100*D100*E100</f>
        <v>1860</v>
      </c>
      <c r="G100" s="638"/>
      <c r="I100" s="518"/>
    </row>
    <row r="101" spans="1:9">
      <c r="B101" s="462" t="s">
        <v>409</v>
      </c>
      <c r="C101" s="456">
        <v>1</v>
      </c>
      <c r="D101" s="442">
        <f t="shared" si="63"/>
        <v>0.4</v>
      </c>
      <c r="E101" s="18">
        <f t="shared" si="64"/>
        <v>3100</v>
      </c>
      <c r="F101" s="65">
        <f t="shared" si="65"/>
        <v>1240</v>
      </c>
      <c r="G101" s="638"/>
      <c r="I101" s="518"/>
    </row>
    <row r="102" spans="1:9">
      <c r="B102" s="462" t="s">
        <v>410</v>
      </c>
      <c r="C102" s="456">
        <v>1</v>
      </c>
      <c r="D102" s="442">
        <f t="shared" si="63"/>
        <v>0.5</v>
      </c>
      <c r="E102" s="18">
        <f t="shared" si="64"/>
        <v>3100</v>
      </c>
      <c r="F102" s="65">
        <f t="shared" si="65"/>
        <v>1550</v>
      </c>
      <c r="G102" s="638"/>
      <c r="I102" s="518"/>
    </row>
    <row r="103" spans="1:9" ht="18.600000000000001" thickBot="1">
      <c r="B103" s="466" t="s">
        <v>411</v>
      </c>
      <c r="C103" s="467">
        <v>1</v>
      </c>
      <c r="D103" s="468">
        <f t="shared" si="63"/>
        <v>0.35</v>
      </c>
      <c r="E103" s="469">
        <f t="shared" si="64"/>
        <v>3100</v>
      </c>
      <c r="F103" s="470">
        <f t="shared" si="65"/>
        <v>1085</v>
      </c>
      <c r="G103" s="638"/>
    </row>
    <row r="104" spans="1:9">
      <c r="B104" s="673" t="s">
        <v>239</v>
      </c>
      <c r="C104" s="674" t="s">
        <v>379</v>
      </c>
      <c r="D104" s="675" t="s">
        <v>306</v>
      </c>
      <c r="E104" s="675" t="s">
        <v>378</v>
      </c>
      <c r="F104" s="675" t="s">
        <v>416</v>
      </c>
      <c r="G104" s="638"/>
    </row>
    <row r="105" spans="1:9">
      <c r="B105" s="471" t="s">
        <v>649</v>
      </c>
      <c r="C105" s="472">
        <v>10</v>
      </c>
      <c r="D105" s="652" t="s">
        <v>380</v>
      </c>
      <c r="E105" s="473">
        <v>244</v>
      </c>
      <c r="F105" s="30">
        <f>E105*C105</f>
        <v>2440</v>
      </c>
      <c r="G105" s="638"/>
    </row>
    <row r="106" spans="1:9">
      <c r="B106" s="440" t="s">
        <v>304</v>
      </c>
      <c r="C106" s="456">
        <v>6</v>
      </c>
      <c r="D106" s="652" t="s">
        <v>380</v>
      </c>
      <c r="E106" s="441">
        <v>406</v>
      </c>
      <c r="F106" s="65">
        <f t="shared" ref="F106:F109" si="66">E106*C106</f>
        <v>2436</v>
      </c>
      <c r="G106" s="638"/>
    </row>
    <row r="107" spans="1:9">
      <c r="B107" s="440"/>
      <c r="C107" s="456"/>
      <c r="D107" s="652"/>
      <c r="E107" s="441"/>
      <c r="F107" s="65">
        <f t="shared" si="66"/>
        <v>0</v>
      </c>
      <c r="G107" s="638"/>
    </row>
    <row r="108" spans="1:9">
      <c r="B108" s="440"/>
      <c r="C108" s="456"/>
      <c r="D108" s="536"/>
      <c r="E108" s="441"/>
      <c r="F108" s="65">
        <f t="shared" si="66"/>
        <v>0</v>
      </c>
      <c r="G108" s="638"/>
    </row>
    <row r="109" spans="1:9" ht="18.600000000000001" thickBot="1">
      <c r="B109" s="443"/>
      <c r="C109" s="457"/>
      <c r="D109" s="653"/>
      <c r="E109" s="444"/>
      <c r="F109" s="415">
        <f t="shared" si="66"/>
        <v>0</v>
      </c>
      <c r="G109" s="638"/>
    </row>
    <row r="110" spans="1:9" ht="18.600000000000001" thickBot="1">
      <c r="B110" s="675" t="s">
        <v>377</v>
      </c>
      <c r="C110" s="675" t="s">
        <v>379</v>
      </c>
      <c r="D110" s="675" t="s">
        <v>306</v>
      </c>
      <c r="E110" s="675" t="s">
        <v>378</v>
      </c>
      <c r="F110" s="675" t="s">
        <v>416</v>
      </c>
      <c r="G110" s="638"/>
    </row>
    <row r="111" spans="1:9">
      <c r="B111" s="437" t="s">
        <v>363</v>
      </c>
      <c r="C111" s="438">
        <v>70</v>
      </c>
      <c r="D111" s="438" t="s">
        <v>380</v>
      </c>
      <c r="E111" s="438">
        <v>200</v>
      </c>
      <c r="F111" s="30">
        <f>+C111*E111</f>
        <v>14000</v>
      </c>
      <c r="G111" s="638"/>
    </row>
    <row r="112" spans="1:9">
      <c r="B112" s="440"/>
      <c r="C112" s="441">
        <v>3</v>
      </c>
      <c r="D112" s="441"/>
      <c r="E112" s="441"/>
      <c r="F112" s="65">
        <f t="shared" ref="F112:F115" si="67">+C112*E112</f>
        <v>0</v>
      </c>
      <c r="G112" s="638"/>
    </row>
    <row r="113" spans="1:7">
      <c r="B113" s="440"/>
      <c r="C113" s="441"/>
      <c r="D113" s="441"/>
      <c r="E113" s="441"/>
      <c r="F113" s="65">
        <f t="shared" si="67"/>
        <v>0</v>
      </c>
      <c r="G113" s="638"/>
    </row>
    <row r="114" spans="1:7">
      <c r="B114" s="440"/>
      <c r="C114" s="441"/>
      <c r="D114" s="441"/>
      <c r="E114" s="441"/>
      <c r="F114" s="65">
        <f t="shared" si="67"/>
        <v>0</v>
      </c>
      <c r="G114" s="638"/>
    </row>
    <row r="115" spans="1:7" ht="18.600000000000001" thickBot="1">
      <c r="B115" s="443"/>
      <c r="C115" s="444"/>
      <c r="D115" s="444"/>
      <c r="E115" s="444"/>
      <c r="F115" s="415">
        <f t="shared" si="67"/>
        <v>0</v>
      </c>
      <c r="G115" s="638"/>
    </row>
    <row r="116" spans="1:7" ht="18.600000000000001" thickBot="1">
      <c r="B116" s="874" t="s">
        <v>240</v>
      </c>
      <c r="C116" s="875"/>
      <c r="D116" s="875"/>
      <c r="E116" s="876"/>
      <c r="F116" s="6">
        <f>SUM(F99:F115)</f>
        <v>25386</v>
      </c>
      <c r="G116" s="638"/>
    </row>
    <row r="117" spans="1:7" ht="18.600000000000001" thickBot="1">
      <c r="B117" s="874" t="s">
        <v>241</v>
      </c>
      <c r="C117" s="875"/>
      <c r="D117" s="875"/>
      <c r="E117" s="876"/>
      <c r="F117" s="13">
        <v>4</v>
      </c>
      <c r="G117" s="638"/>
    </row>
    <row r="118" spans="1:7">
      <c r="G118" s="638"/>
    </row>
    <row r="119" spans="1:7" ht="18.600000000000001" thickBot="1">
      <c r="G119" s="638"/>
    </row>
    <row r="120" spans="1:7" ht="32.25" customHeight="1" thickBot="1">
      <c r="A120" s="657">
        <v>6</v>
      </c>
      <c r="B120" s="459" t="s">
        <v>305</v>
      </c>
      <c r="C120" s="640" t="s">
        <v>629</v>
      </c>
      <c r="D120" s="451">
        <v>10</v>
      </c>
      <c r="E120" s="641" t="s">
        <v>635</v>
      </c>
      <c r="F120" s="450">
        <v>2018</v>
      </c>
      <c r="G120" s="638"/>
    </row>
    <row r="121" spans="1:7" ht="18.600000000000001" thickBot="1">
      <c r="B121" s="460" t="s">
        <v>238</v>
      </c>
      <c r="C121" s="413" t="s">
        <v>375</v>
      </c>
      <c r="D121" s="12" t="s">
        <v>382</v>
      </c>
      <c r="E121" s="12" t="s">
        <v>381</v>
      </c>
      <c r="F121" s="12" t="s">
        <v>416</v>
      </c>
      <c r="G121" s="638"/>
    </row>
    <row r="122" spans="1:7">
      <c r="B122" s="461"/>
      <c r="C122" s="455">
        <v>1</v>
      </c>
      <c r="D122" s="642">
        <f>IF(B122="",0,VLOOKUP(B122,$AI$10:$AJ$19,2))</f>
        <v>0</v>
      </c>
      <c r="E122" s="633">
        <f>$C$1</f>
        <v>3100</v>
      </c>
      <c r="F122" s="526">
        <f>+C122*D122*E122</f>
        <v>0</v>
      </c>
      <c r="G122" s="638"/>
    </row>
    <row r="123" spans="1:7">
      <c r="B123" s="462"/>
      <c r="C123" s="456">
        <v>1</v>
      </c>
      <c r="D123" s="643">
        <f t="shared" ref="D123:D126" si="68">IF(B123="",0,VLOOKUP(B123,$AI$10:$AJ$19,2))</f>
        <v>0</v>
      </c>
      <c r="E123" s="644">
        <f t="shared" ref="E123:E126" si="69">$C$1</f>
        <v>3100</v>
      </c>
      <c r="F123" s="538">
        <f t="shared" ref="F123:F126" si="70">+C123*D123*E123</f>
        <v>0</v>
      </c>
      <c r="G123" s="638"/>
    </row>
    <row r="124" spans="1:7">
      <c r="B124" s="462"/>
      <c r="C124" s="456">
        <v>1</v>
      </c>
      <c r="D124" s="643">
        <f t="shared" si="68"/>
        <v>0</v>
      </c>
      <c r="E124" s="644">
        <f t="shared" si="69"/>
        <v>3100</v>
      </c>
      <c r="F124" s="538">
        <f t="shared" si="70"/>
        <v>0</v>
      </c>
      <c r="G124" s="638"/>
    </row>
    <row r="125" spans="1:7">
      <c r="B125" s="462"/>
      <c r="C125" s="456">
        <v>1</v>
      </c>
      <c r="D125" s="643">
        <f t="shared" si="68"/>
        <v>0</v>
      </c>
      <c r="E125" s="644">
        <f t="shared" si="69"/>
        <v>3100</v>
      </c>
      <c r="F125" s="538">
        <f t="shared" si="70"/>
        <v>0</v>
      </c>
      <c r="G125" s="638"/>
    </row>
    <row r="126" spans="1:7" ht="18.600000000000001" thickBot="1">
      <c r="B126" s="466"/>
      <c r="C126" s="467">
        <v>1</v>
      </c>
      <c r="D126" s="645">
        <f t="shared" si="68"/>
        <v>0</v>
      </c>
      <c r="E126" s="646">
        <f t="shared" si="69"/>
        <v>3100</v>
      </c>
      <c r="F126" s="647">
        <f t="shared" si="70"/>
        <v>0</v>
      </c>
      <c r="G126" s="638"/>
    </row>
    <row r="127" spans="1:7">
      <c r="B127" s="460" t="s">
        <v>239</v>
      </c>
      <c r="C127" s="413" t="s">
        <v>379</v>
      </c>
      <c r="D127" s="12" t="s">
        <v>306</v>
      </c>
      <c r="E127" s="12" t="s">
        <v>378</v>
      </c>
      <c r="F127" s="12" t="s">
        <v>416</v>
      </c>
      <c r="G127" s="638"/>
    </row>
    <row r="128" spans="1:7">
      <c r="B128" s="471"/>
      <c r="C128" s="472"/>
      <c r="D128" s="652"/>
      <c r="E128" s="473"/>
      <c r="F128" s="526">
        <f>E128*C128</f>
        <v>0</v>
      </c>
      <c r="G128" s="638"/>
    </row>
    <row r="129" spans="2:15">
      <c r="B129" s="440"/>
      <c r="C129" s="456"/>
      <c r="D129" s="536"/>
      <c r="E129" s="441"/>
      <c r="F129" s="538">
        <f t="shared" ref="F129:F132" si="71">E129*C129</f>
        <v>0</v>
      </c>
      <c r="G129" s="638"/>
    </row>
    <row r="130" spans="2:15">
      <c r="B130" s="440"/>
      <c r="C130" s="456"/>
      <c r="D130" s="536"/>
      <c r="E130" s="441"/>
      <c r="F130" s="538">
        <f t="shared" si="71"/>
        <v>0</v>
      </c>
      <c r="G130" s="638"/>
    </row>
    <row r="131" spans="2:15">
      <c r="B131" s="440"/>
      <c r="C131" s="456"/>
      <c r="D131" s="536"/>
      <c r="E131" s="441"/>
      <c r="F131" s="538">
        <f t="shared" si="71"/>
        <v>0</v>
      </c>
      <c r="G131" s="638"/>
    </row>
    <row r="132" spans="2:15" ht="18.600000000000001" thickBot="1">
      <c r="B132" s="443"/>
      <c r="C132" s="457"/>
      <c r="D132" s="653"/>
      <c r="E132" s="444"/>
      <c r="F132" s="648">
        <f t="shared" si="71"/>
        <v>0</v>
      </c>
      <c r="G132" s="638"/>
    </row>
    <row r="133" spans="2:15" ht="18.600000000000001" thickBot="1">
      <c r="B133" s="12" t="s">
        <v>377</v>
      </c>
      <c r="C133" s="12" t="s">
        <v>379</v>
      </c>
      <c r="D133" s="12" t="s">
        <v>306</v>
      </c>
      <c r="E133" s="12" t="s">
        <v>378</v>
      </c>
      <c r="F133" s="12" t="s">
        <v>416</v>
      </c>
      <c r="G133" s="638"/>
    </row>
    <row r="134" spans="2:15">
      <c r="B134" s="437"/>
      <c r="C134" s="438"/>
      <c r="D134" s="438"/>
      <c r="E134" s="438"/>
      <c r="F134" s="526">
        <f>+C134*E134</f>
        <v>0</v>
      </c>
      <c r="G134" s="638"/>
      <c r="J134" s="872" t="s">
        <v>77</v>
      </c>
      <c r="K134" s="873"/>
      <c r="L134" s="873"/>
      <c r="M134" s="873"/>
    </row>
    <row r="135" spans="2:15" ht="18.600000000000001" thickBot="1">
      <c r="B135" s="440"/>
      <c r="C135" s="441"/>
      <c r="D135" s="441"/>
      <c r="E135" s="441"/>
      <c r="F135" s="538">
        <f t="shared" ref="F135:F138" si="72">+C135*E135</f>
        <v>0</v>
      </c>
      <c r="G135" s="638"/>
    </row>
    <row r="136" spans="2:15" ht="18.600000000000001" thickBot="1">
      <c r="B136" s="440"/>
      <c r="C136" s="441"/>
      <c r="D136" s="441"/>
      <c r="E136" s="441"/>
      <c r="F136" s="538">
        <f t="shared" si="72"/>
        <v>0</v>
      </c>
      <c r="G136" s="638"/>
      <c r="L136" s="658" t="s">
        <v>612</v>
      </c>
      <c r="M136" s="659" t="s">
        <v>613</v>
      </c>
    </row>
    <row r="137" spans="2:15" ht="18.600000000000001" thickBot="1">
      <c r="B137" s="440" t="s">
        <v>402</v>
      </c>
      <c r="C137" s="441">
        <v>1</v>
      </c>
      <c r="D137" s="441"/>
      <c r="E137" s="441">
        <v>13750</v>
      </c>
      <c r="F137" s="538">
        <f t="shared" si="72"/>
        <v>13750</v>
      </c>
      <c r="G137" s="638"/>
      <c r="J137" s="766" t="s">
        <v>396</v>
      </c>
      <c r="K137" s="767"/>
      <c r="L137" s="389">
        <f>+'1.Datos'!F17+'1.Datos'!F18</f>
        <v>56</v>
      </c>
      <c r="M137" s="389">
        <f>+Y5+Y28+Y51+Y74</f>
        <v>48</v>
      </c>
      <c r="N137" s="870" t="str">
        <f>IF(L137=M137,"correcto","Revisar")</f>
        <v>Revisar</v>
      </c>
      <c r="O137" s="871"/>
    </row>
    <row r="138" spans="2:15" ht="18.600000000000001" thickBot="1">
      <c r="B138" s="443"/>
      <c r="C138" s="444"/>
      <c r="D138" s="444"/>
      <c r="E138" s="444"/>
      <c r="F138" s="648">
        <f t="shared" si="72"/>
        <v>0</v>
      </c>
      <c r="G138" s="638"/>
      <c r="J138" s="743" t="s">
        <v>33</v>
      </c>
      <c r="K138" s="744"/>
      <c r="L138" s="389">
        <f>+'1.Datos'!F19</f>
        <v>57</v>
      </c>
      <c r="M138" s="389">
        <f>+R28</f>
        <v>75</v>
      </c>
      <c r="N138" s="660" t="s">
        <v>616</v>
      </c>
      <c r="O138" s="661"/>
    </row>
    <row r="139" spans="2:15" ht="18.600000000000001" thickBot="1">
      <c r="B139" s="880" t="s">
        <v>240</v>
      </c>
      <c r="C139" s="881"/>
      <c r="D139" s="881"/>
      <c r="E139" s="882"/>
      <c r="F139" s="649">
        <f>SUM(F122:F138)</f>
        <v>13750</v>
      </c>
      <c r="G139" s="638"/>
      <c r="J139" s="743" t="s">
        <v>34</v>
      </c>
      <c r="K139" s="744"/>
      <c r="L139" s="389">
        <f>+'1.Datos'!F20</f>
        <v>30</v>
      </c>
      <c r="M139" s="404">
        <f>+D5+D28+D51+D74+D97+D120</f>
        <v>110</v>
      </c>
      <c r="N139" s="870" t="str">
        <f t="shared" ref="N139:N140" si="73">IF(L139=M139,"correcto","Revisar")</f>
        <v>Revisar</v>
      </c>
      <c r="O139" s="871"/>
    </row>
    <row r="140" spans="2:15" ht="18.600000000000001" thickBot="1">
      <c r="B140" s="880" t="s">
        <v>241</v>
      </c>
      <c r="C140" s="881"/>
      <c r="D140" s="881"/>
      <c r="E140" s="882"/>
      <c r="F140" s="13">
        <v>4</v>
      </c>
      <c r="G140" s="638"/>
      <c r="J140" s="743" t="s">
        <v>92</v>
      </c>
      <c r="K140" s="744"/>
      <c r="L140" s="389">
        <f>+'1.Datos'!F21</f>
        <v>25</v>
      </c>
      <c r="M140" s="404">
        <f>+K5+K28+K51</f>
        <v>34</v>
      </c>
      <c r="N140" s="870" t="str">
        <f t="shared" si="73"/>
        <v>Revisar</v>
      </c>
      <c r="O140" s="871"/>
    </row>
    <row r="141" spans="2:15">
      <c r="G141" s="638"/>
    </row>
    <row r="142" spans="2:15">
      <c r="G142" s="638"/>
    </row>
    <row r="144" spans="2:15">
      <c r="B144" s="539" t="s">
        <v>419</v>
      </c>
    </row>
    <row r="145" spans="2:5">
      <c r="B145" s="662" t="s">
        <v>497</v>
      </c>
    </row>
    <row r="146" spans="2:5">
      <c r="B146" s="663" t="s">
        <v>654</v>
      </c>
    </row>
    <row r="147" spans="2:5">
      <c r="B147" s="663" t="s">
        <v>493</v>
      </c>
    </row>
    <row r="148" spans="2:5">
      <c r="B148" s="664" t="s">
        <v>491</v>
      </c>
    </row>
    <row r="149" spans="2:5">
      <c r="B149" s="664" t="s">
        <v>492</v>
      </c>
    </row>
    <row r="150" spans="2:5">
      <c r="B150" s="542" t="s">
        <v>494</v>
      </c>
    </row>
    <row r="151" spans="2:5">
      <c r="B151" s="542" t="s">
        <v>495</v>
      </c>
    </row>
    <row r="152" spans="2:5">
      <c r="B152" s="542" t="s">
        <v>614</v>
      </c>
    </row>
    <row r="153" spans="2:5">
      <c r="B153" s="542" t="s">
        <v>496</v>
      </c>
    </row>
    <row r="154" spans="2:5">
      <c r="B154" s="662" t="s">
        <v>396</v>
      </c>
    </row>
    <row r="155" spans="2:5">
      <c r="B155" s="542" t="s">
        <v>498</v>
      </c>
    </row>
    <row r="156" spans="2:5">
      <c r="B156" s="665" t="s">
        <v>505</v>
      </c>
    </row>
    <row r="157" spans="2:5">
      <c r="B157" s="666">
        <v>43647</v>
      </c>
      <c r="C157" s="865" t="s">
        <v>499</v>
      </c>
    </row>
    <row r="158" spans="2:5">
      <c r="C158" s="865"/>
    </row>
    <row r="159" spans="2:5">
      <c r="C159" s="865"/>
      <c r="D159" s="667">
        <v>43891</v>
      </c>
      <c r="E159" s="516" t="s">
        <v>502</v>
      </c>
    </row>
    <row r="160" spans="2:5">
      <c r="C160" s="865"/>
      <c r="D160" s="517"/>
    </row>
    <row r="161" spans="2:6">
      <c r="B161" s="668">
        <v>44013</v>
      </c>
      <c r="C161" s="866" t="s">
        <v>500</v>
      </c>
      <c r="D161" s="669"/>
      <c r="E161" s="670" t="s">
        <v>504</v>
      </c>
      <c r="F161" s="670"/>
    </row>
    <row r="162" spans="2:6">
      <c r="C162" s="866"/>
      <c r="D162" s="669"/>
      <c r="E162" s="670"/>
      <c r="F162" s="670"/>
    </row>
    <row r="163" spans="2:6">
      <c r="C163" s="866"/>
      <c r="D163" s="671">
        <v>44256</v>
      </c>
      <c r="E163" s="670" t="s">
        <v>503</v>
      </c>
      <c r="F163" s="670"/>
    </row>
    <row r="164" spans="2:6">
      <c r="C164" s="866"/>
      <c r="D164" s="669"/>
      <c r="E164" s="670"/>
      <c r="F164" s="670"/>
    </row>
    <row r="165" spans="2:6">
      <c r="B165" s="668">
        <v>44378</v>
      </c>
      <c r="C165" s="867" t="s">
        <v>501</v>
      </c>
      <c r="E165" s="672" t="s">
        <v>615</v>
      </c>
    </row>
    <row r="166" spans="2:6">
      <c r="C166" s="867"/>
    </row>
    <row r="167" spans="2:6">
      <c r="C167" s="867"/>
    </row>
    <row r="168" spans="2:6">
      <c r="C168" s="867"/>
    </row>
    <row r="169" spans="2:6">
      <c r="B169" s="666">
        <v>44743</v>
      </c>
    </row>
  </sheetData>
  <sheetProtection password="CF47" sheet="1" objects="1" scenarios="1"/>
  <mergeCells count="41">
    <mergeCell ref="B3:F3"/>
    <mergeCell ref="B24:E24"/>
    <mergeCell ref="B25:E25"/>
    <mergeCell ref="B47:E47"/>
    <mergeCell ref="B48:E48"/>
    <mergeCell ref="P3:T3"/>
    <mergeCell ref="P18:S18"/>
    <mergeCell ref="I70:L70"/>
    <mergeCell ref="I71:L71"/>
    <mergeCell ref="I3:M3"/>
    <mergeCell ref="I24:L24"/>
    <mergeCell ref="I25:L25"/>
    <mergeCell ref="I47:L47"/>
    <mergeCell ref="I48:L48"/>
    <mergeCell ref="P25:T26"/>
    <mergeCell ref="W3:AA3"/>
    <mergeCell ref="W24:Z24"/>
    <mergeCell ref="W47:Z47"/>
    <mergeCell ref="W70:Z70"/>
    <mergeCell ref="W93:Z93"/>
    <mergeCell ref="W96:Z96"/>
    <mergeCell ref="B116:E116"/>
    <mergeCell ref="B117:E117"/>
    <mergeCell ref="B139:E139"/>
    <mergeCell ref="B140:E140"/>
    <mergeCell ref="N140:O140"/>
    <mergeCell ref="C157:C160"/>
    <mergeCell ref="C161:C164"/>
    <mergeCell ref="C165:C168"/>
    <mergeCell ref="P41:S41"/>
    <mergeCell ref="J137:K137"/>
    <mergeCell ref="J138:K138"/>
    <mergeCell ref="J139:K139"/>
    <mergeCell ref="J140:K140"/>
    <mergeCell ref="N137:O137"/>
    <mergeCell ref="J134:M134"/>
    <mergeCell ref="N139:O139"/>
    <mergeCell ref="B71:E71"/>
    <mergeCell ref="B93:E93"/>
    <mergeCell ref="B94:E94"/>
    <mergeCell ref="B70:E70"/>
  </mergeCells>
  <phoneticPr fontId="2" type="noConversion"/>
  <dataValidations count="1">
    <dataValidation type="list" allowBlank="1" showInputMessage="1" showErrorMessage="1" sqref="B7:B11 W76:W80 W53:W57 W30:W34 P30:P34 B122:B126 B99:B103 B76:B80 I53:I57 B30:B34 I30:I34 I7:I11 W7:W11 P7:P11 B53:B57">
      <formula1>$AI$10:$AI$21</formula1>
    </dataValidation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showGridLines="0" zoomScale="80" zoomScaleNormal="80" workbookViewId="0">
      <selection activeCell="E7" sqref="E7"/>
    </sheetView>
  </sheetViews>
  <sheetFormatPr baseColWidth="10" defaultColWidth="11.44140625" defaultRowHeight="13.8"/>
  <cols>
    <col min="1" max="1" width="48.88671875" style="363" customWidth="1"/>
    <col min="2" max="2" width="11.88671875" style="516" customWidth="1"/>
    <col min="3" max="3" width="5.6640625" style="363" customWidth="1"/>
    <col min="4" max="4" width="10" style="363" customWidth="1"/>
    <col min="5" max="5" width="9.44140625" style="363" customWidth="1"/>
    <col min="6" max="6" width="10" style="363" customWidth="1"/>
    <col min="7" max="7" width="8.44140625" style="363" customWidth="1"/>
    <col min="8" max="8" width="8.44140625" style="517" customWidth="1"/>
    <col min="9" max="15" width="8.44140625" style="363" customWidth="1"/>
    <col min="16" max="16384" width="11.44140625" style="363"/>
  </cols>
  <sheetData>
    <row r="1" spans="1:33" ht="24.75" customHeight="1" thickBot="1"/>
    <row r="2" spans="1:33" ht="16.5" customHeight="1">
      <c r="A2" s="851" t="s">
        <v>108</v>
      </c>
      <c r="B2" s="611" t="s">
        <v>424</v>
      </c>
      <c r="D2" s="612">
        <f>$O$3/D3</f>
        <v>1.5960020829876367</v>
      </c>
      <c r="E2" s="613">
        <f t="shared" ref="E2:O2" si="0">$O$3/E3</f>
        <v>1.5331623671927099</v>
      </c>
      <c r="F2" s="613">
        <f t="shared" si="0"/>
        <v>1.4784593704847735</v>
      </c>
      <c r="G2" s="613">
        <f t="shared" si="0"/>
        <v>1.4120910892882268</v>
      </c>
      <c r="H2" s="613">
        <f t="shared" si="0"/>
        <v>1.3551737901038645</v>
      </c>
      <c r="I2" s="613">
        <f t="shared" si="0"/>
        <v>1.2980591859232418</v>
      </c>
      <c r="J2" s="613">
        <f t="shared" si="0"/>
        <v>1.2292227139424636</v>
      </c>
      <c r="K2" s="613">
        <f t="shared" si="0"/>
        <v>1.1585510970239998</v>
      </c>
      <c r="L2" s="613">
        <f t="shared" si="0"/>
        <v>1.115063616</v>
      </c>
      <c r="M2" s="613">
        <f t="shared" si="0"/>
        <v>1.063992</v>
      </c>
      <c r="N2" s="613">
        <f t="shared" si="0"/>
        <v>1.0309999999999999</v>
      </c>
      <c r="O2" s="614">
        <f t="shared" si="0"/>
        <v>1</v>
      </c>
    </row>
    <row r="3" spans="1:33" ht="16.5" customHeight="1">
      <c r="A3" s="852"/>
      <c r="B3" s="615" t="s">
        <v>423</v>
      </c>
      <c r="D3" s="616">
        <v>1688.6</v>
      </c>
      <c r="E3" s="617">
        <v>1757.8106370218359</v>
      </c>
      <c r="F3" s="617">
        <v>1822.8496305916437</v>
      </c>
      <c r="G3" s="617">
        <v>1908.5235632294509</v>
      </c>
      <c r="H3" s="617">
        <v>1988.681552885088</v>
      </c>
      <c r="I3" s="617">
        <v>2076.1835412120317</v>
      </c>
      <c r="J3" s="617">
        <v>2192.4498195199058</v>
      </c>
      <c r="K3" s="617">
        <v>2326.1892585106198</v>
      </c>
      <c r="L3" s="617">
        <v>2416.9106395925337</v>
      </c>
      <c r="M3" s="617">
        <v>2532.9223502929754</v>
      </c>
      <c r="N3" s="617">
        <v>2613.9758655023506</v>
      </c>
      <c r="O3" s="618">
        <v>2695.0091173329233</v>
      </c>
    </row>
    <row r="4" spans="1:33">
      <c r="A4" s="594" t="s">
        <v>428</v>
      </c>
      <c r="B4" s="595" t="s">
        <v>242</v>
      </c>
      <c r="C4" s="619"/>
      <c r="D4" s="598" t="s">
        <v>243</v>
      </c>
      <c r="E4" s="599" t="s">
        <v>244</v>
      </c>
      <c r="F4" s="599" t="s">
        <v>429</v>
      </c>
      <c r="G4" s="599" t="s">
        <v>245</v>
      </c>
      <c r="H4" s="599" t="s">
        <v>246</v>
      </c>
      <c r="I4" s="599" t="s">
        <v>247</v>
      </c>
      <c r="J4" s="599" t="s">
        <v>248</v>
      </c>
      <c r="K4" s="599" t="s">
        <v>249</v>
      </c>
      <c r="L4" s="599" t="s">
        <v>250</v>
      </c>
      <c r="M4" s="599" t="s">
        <v>251</v>
      </c>
      <c r="N4" s="599" t="s">
        <v>252</v>
      </c>
      <c r="O4" s="595" t="s">
        <v>253</v>
      </c>
      <c r="P4" s="525"/>
      <c r="Q4" s="525"/>
      <c r="R4" s="525"/>
      <c r="S4" s="525"/>
      <c r="T4" s="525"/>
      <c r="U4" s="525"/>
      <c r="V4" s="525"/>
      <c r="W4" s="525"/>
      <c r="X4" s="525"/>
      <c r="Y4" s="525"/>
      <c r="Z4" s="525"/>
      <c r="AA4" s="525"/>
      <c r="AB4" s="525"/>
      <c r="AC4" s="525"/>
      <c r="AD4" s="525"/>
      <c r="AE4" s="525"/>
      <c r="AF4" s="525"/>
      <c r="AG4" s="525"/>
    </row>
    <row r="5" spans="1:33" ht="14.4" thickBot="1">
      <c r="A5" s="596" t="s">
        <v>426</v>
      </c>
      <c r="B5" s="597"/>
      <c r="D5" s="600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597"/>
    </row>
    <row r="6" spans="1:33">
      <c r="A6" s="32" t="s">
        <v>413</v>
      </c>
      <c r="B6" s="602">
        <f>SUMPRODUCT($D$2:$O$2,D6:O6)</f>
        <v>574693.24170679878</v>
      </c>
      <c r="D6" s="620">
        <v>35000</v>
      </c>
      <c r="E6" s="621">
        <v>35000</v>
      </c>
      <c r="F6" s="621">
        <v>35000</v>
      </c>
      <c r="G6" s="621">
        <v>35000</v>
      </c>
      <c r="H6" s="622">
        <v>35000</v>
      </c>
      <c r="I6" s="621">
        <v>52500</v>
      </c>
      <c r="J6" s="621">
        <v>35000</v>
      </c>
      <c r="K6" s="621">
        <v>35000</v>
      </c>
      <c r="L6" s="621">
        <v>35000</v>
      </c>
      <c r="M6" s="621">
        <v>35000</v>
      </c>
      <c r="N6" s="621">
        <v>35000</v>
      </c>
      <c r="O6" s="623">
        <v>52500</v>
      </c>
    </row>
    <row r="7" spans="1:33">
      <c r="A7" s="32" t="s">
        <v>414</v>
      </c>
      <c r="B7" s="603">
        <f t="shared" ref="B7:B15" si="1">SUMPRODUCT($D$2:$O$2,D7:O7)</f>
        <v>0</v>
      </c>
      <c r="D7" s="620"/>
      <c r="E7" s="621"/>
      <c r="F7" s="621"/>
      <c r="G7" s="621"/>
      <c r="H7" s="622"/>
      <c r="I7" s="621"/>
      <c r="J7" s="621"/>
      <c r="K7" s="621"/>
      <c r="L7" s="621"/>
      <c r="M7" s="621"/>
      <c r="N7" s="621"/>
      <c r="O7" s="623"/>
    </row>
    <row r="8" spans="1:33">
      <c r="A8" s="32" t="s">
        <v>415</v>
      </c>
      <c r="B8" s="603">
        <f t="shared" si="1"/>
        <v>0</v>
      </c>
      <c r="D8" s="620"/>
      <c r="E8" s="621"/>
      <c r="F8" s="621"/>
      <c r="G8" s="621"/>
      <c r="H8" s="622"/>
      <c r="I8" s="621"/>
      <c r="J8" s="621"/>
      <c r="K8" s="621"/>
      <c r="L8" s="621"/>
      <c r="M8" s="621"/>
      <c r="N8" s="621"/>
      <c r="O8" s="623"/>
    </row>
    <row r="9" spans="1:33">
      <c r="A9" s="32" t="s">
        <v>425</v>
      </c>
      <c r="B9" s="603">
        <f t="shared" si="1"/>
        <v>626506.09508314333</v>
      </c>
      <c r="D9" s="620">
        <v>200000</v>
      </c>
      <c r="E9" s="621"/>
      <c r="F9" s="621"/>
      <c r="G9" s="621"/>
      <c r="H9" s="622"/>
      <c r="I9" s="621"/>
      <c r="J9" s="621">
        <v>250000</v>
      </c>
      <c r="K9" s="621"/>
      <c r="L9" s="621"/>
      <c r="M9" s="621"/>
      <c r="N9" s="621"/>
      <c r="O9" s="623"/>
    </row>
    <row r="10" spans="1:33" ht="14.4" thickBot="1">
      <c r="A10" s="32"/>
      <c r="B10" s="603">
        <f t="shared" si="1"/>
        <v>0</v>
      </c>
      <c r="D10" s="620"/>
      <c r="E10" s="621"/>
      <c r="F10" s="621"/>
      <c r="G10" s="621"/>
      <c r="H10" s="622"/>
      <c r="I10" s="621"/>
      <c r="J10" s="621"/>
      <c r="K10" s="621"/>
      <c r="L10" s="621"/>
      <c r="M10" s="621"/>
      <c r="N10" s="621"/>
      <c r="O10" s="623"/>
    </row>
    <row r="11" spans="1:33" ht="14.4" thickBot="1">
      <c r="A11" s="551" t="s">
        <v>427</v>
      </c>
      <c r="B11" s="604"/>
      <c r="D11" s="606"/>
      <c r="E11" s="607"/>
      <c r="F11" s="607"/>
      <c r="G11" s="607"/>
      <c r="H11" s="607"/>
      <c r="I11" s="607"/>
      <c r="J11" s="607"/>
      <c r="K11" s="607"/>
      <c r="L11" s="607"/>
      <c r="M11" s="607"/>
      <c r="N11" s="607"/>
      <c r="O11" s="608"/>
    </row>
    <row r="12" spans="1:33">
      <c r="A12" s="32" t="s">
        <v>413</v>
      </c>
      <c r="B12" s="602">
        <f t="shared" si="1"/>
        <v>927918.55956509151</v>
      </c>
      <c r="D12" s="624">
        <v>50000</v>
      </c>
      <c r="E12" s="610">
        <v>50000</v>
      </c>
      <c r="F12" s="610">
        <v>50000</v>
      </c>
      <c r="G12" s="610">
        <v>50000</v>
      </c>
      <c r="H12" s="610">
        <v>50000</v>
      </c>
      <c r="I12" s="610">
        <f>50000+25000</f>
        <v>75000</v>
      </c>
      <c r="J12" s="610">
        <v>60000</v>
      </c>
      <c r="K12" s="610">
        <v>60000</v>
      </c>
      <c r="L12" s="610">
        <v>60000</v>
      </c>
      <c r="M12" s="610">
        <v>70000</v>
      </c>
      <c r="N12" s="610">
        <v>70000</v>
      </c>
      <c r="O12" s="623">
        <f>70000+35000</f>
        <v>105000</v>
      </c>
    </row>
    <row r="13" spans="1:33">
      <c r="A13" s="32" t="s">
        <v>677</v>
      </c>
      <c r="B13" s="603">
        <f t="shared" si="1"/>
        <v>124507.36651220567</v>
      </c>
      <c r="D13" s="620"/>
      <c r="E13" s="621"/>
      <c r="F13" s="621"/>
      <c r="G13" s="621">
        <v>25000</v>
      </c>
      <c r="H13" s="622"/>
      <c r="I13" s="621"/>
      <c r="J13" s="621"/>
      <c r="K13" s="621"/>
      <c r="L13" s="621">
        <v>80000</v>
      </c>
      <c r="M13" s="621"/>
      <c r="N13" s="621"/>
      <c r="O13" s="623"/>
    </row>
    <row r="14" spans="1:33">
      <c r="A14" s="32" t="s">
        <v>415</v>
      </c>
      <c r="B14" s="603">
        <f t="shared" si="1"/>
        <v>0</v>
      </c>
      <c r="D14" s="620"/>
      <c r="E14" s="621"/>
      <c r="F14" s="621"/>
      <c r="G14" s="621"/>
      <c r="H14" s="622"/>
      <c r="I14" s="621"/>
      <c r="J14" s="621"/>
      <c r="K14" s="621"/>
      <c r="L14" s="621"/>
      <c r="M14" s="621"/>
      <c r="N14" s="621"/>
      <c r="O14" s="623"/>
    </row>
    <row r="15" spans="1:33" ht="14.4" thickBot="1">
      <c r="A15" s="625"/>
      <c r="B15" s="603">
        <f t="shared" si="1"/>
        <v>0</v>
      </c>
      <c r="D15" s="626"/>
      <c r="E15" s="627"/>
      <c r="F15" s="627"/>
      <c r="G15" s="627"/>
      <c r="H15" s="628"/>
      <c r="I15" s="627"/>
      <c r="J15" s="627"/>
      <c r="K15" s="627"/>
      <c r="L15" s="627"/>
      <c r="M15" s="627"/>
      <c r="N15" s="627"/>
      <c r="O15" s="623"/>
    </row>
    <row r="16" spans="1:33" ht="14.4" thickBot="1">
      <c r="A16" s="551" t="s">
        <v>256</v>
      </c>
      <c r="B16" s="605" t="s">
        <v>417</v>
      </c>
      <c r="D16" s="606"/>
      <c r="E16" s="607"/>
      <c r="F16" s="607"/>
      <c r="G16" s="607"/>
      <c r="H16" s="607"/>
      <c r="I16" s="607"/>
      <c r="J16" s="607"/>
      <c r="K16" s="607"/>
      <c r="L16" s="607"/>
      <c r="M16" s="607"/>
      <c r="N16" s="607"/>
      <c r="O16" s="608"/>
    </row>
    <row r="17" spans="1:24" ht="14.4" thickBot="1">
      <c r="A17" s="551" t="s">
        <v>471</v>
      </c>
      <c r="B17" s="30">
        <f t="shared" ref="B17:B18" si="2">SUM(D17:O17)</f>
        <v>100000</v>
      </c>
      <c r="D17" s="620"/>
      <c r="E17" s="621"/>
      <c r="F17" s="621">
        <v>100000</v>
      </c>
      <c r="G17" s="621"/>
      <c r="H17" s="622"/>
      <c r="I17" s="621"/>
      <c r="J17" s="621"/>
      <c r="K17" s="621"/>
      <c r="L17" s="621"/>
      <c r="M17" s="621"/>
      <c r="N17" s="621"/>
      <c r="O17" s="623"/>
    </row>
    <row r="18" spans="1:24" ht="14.4" thickBot="1">
      <c r="A18" s="551" t="s">
        <v>472</v>
      </c>
      <c r="B18" s="34">
        <f t="shared" si="2"/>
        <v>40000</v>
      </c>
      <c r="D18" s="626"/>
      <c r="E18" s="627"/>
      <c r="F18" s="627">
        <v>20000</v>
      </c>
      <c r="G18" s="627"/>
      <c r="H18" s="628"/>
      <c r="I18" s="627"/>
      <c r="J18" s="627"/>
      <c r="K18" s="627">
        <v>20000</v>
      </c>
      <c r="L18" s="627"/>
      <c r="M18" s="627"/>
      <c r="N18" s="627"/>
      <c r="O18" s="629"/>
    </row>
    <row r="19" spans="1:24" ht="14.4">
      <c r="A19" s="518"/>
      <c r="B19" s="518"/>
      <c r="C19" s="518"/>
      <c r="D19" s="518"/>
      <c r="E19" s="518"/>
      <c r="F19" s="518"/>
      <c r="G19" s="518"/>
      <c r="H19" s="518"/>
      <c r="I19" s="518"/>
      <c r="J19" s="518"/>
      <c r="K19" s="518"/>
      <c r="L19" s="518"/>
      <c r="M19" s="518"/>
      <c r="N19" s="518"/>
      <c r="O19" s="518"/>
    </row>
    <row r="21" spans="1:24" ht="14.4" thickBot="1"/>
    <row r="22" spans="1:24" ht="40.5" customHeight="1" thickBot="1">
      <c r="A22" s="609" t="s">
        <v>85</v>
      </c>
      <c r="B22" s="46" t="s">
        <v>432</v>
      </c>
      <c r="C22" s="630" t="s">
        <v>5</v>
      </c>
      <c r="D22" s="46" t="s">
        <v>394</v>
      </c>
      <c r="E22" s="46" t="s">
        <v>433</v>
      </c>
      <c r="F22" s="50" t="s">
        <v>434</v>
      </c>
      <c r="H22" s="48" t="s">
        <v>479</v>
      </c>
      <c r="I22" s="49">
        <v>0.45</v>
      </c>
      <c r="J22" s="631" t="s">
        <v>473</v>
      </c>
    </row>
    <row r="23" spans="1:24" ht="20.25" customHeight="1" thickBot="1">
      <c r="A23" s="551" t="s">
        <v>254</v>
      </c>
      <c r="B23" s="28">
        <f>SUM(B6:B10)</f>
        <v>1201199.3367899421</v>
      </c>
      <c r="C23" s="632">
        <v>1</v>
      </c>
      <c r="D23" s="47">
        <f>$I$22*SUM(B6:B10)</f>
        <v>540539.70155547396</v>
      </c>
      <c r="E23" s="47">
        <f>+B17</f>
        <v>100000</v>
      </c>
      <c r="F23" s="51">
        <f>(B23*C23)+D23+E23</f>
        <v>1841739.0383454161</v>
      </c>
      <c r="H23" s="518"/>
      <c r="I23" s="518"/>
      <c r="J23" s="518"/>
      <c r="X23" s="634" t="s">
        <v>258</v>
      </c>
    </row>
    <row r="24" spans="1:24" ht="20.25" customHeight="1" thickBot="1">
      <c r="A24" s="551" t="s">
        <v>255</v>
      </c>
      <c r="B24" s="28">
        <f>SUM(B12:B15)</f>
        <v>1052425.9260772972</v>
      </c>
      <c r="C24" s="632">
        <v>0.5</v>
      </c>
      <c r="D24" s="47">
        <f>$I$22*SUM(B12:B15)</f>
        <v>473591.66673478374</v>
      </c>
      <c r="E24" s="47">
        <f>+B18</f>
        <v>40000</v>
      </c>
      <c r="F24" s="51">
        <f>(B24*C24)+D24+E24</f>
        <v>1039804.6297734324</v>
      </c>
      <c r="X24" s="634" t="s">
        <v>257</v>
      </c>
    </row>
    <row r="25" spans="1:24" ht="20.25" customHeight="1" thickBot="1">
      <c r="A25" s="551" t="s">
        <v>47</v>
      </c>
      <c r="B25" s="53">
        <f>SUM(B23:B24)</f>
        <v>2253625.2628672393</v>
      </c>
      <c r="C25" s="54"/>
      <c r="D25" s="54">
        <f>SUM(D23:D24)</f>
        <v>1014131.3682902576</v>
      </c>
      <c r="E25" s="54">
        <f>SUM(E23:E24)</f>
        <v>140000</v>
      </c>
      <c r="F25" s="52">
        <f>+B25+D25+E25</f>
        <v>3407756.6311574969</v>
      </c>
    </row>
    <row r="29" spans="1:24" ht="15.6">
      <c r="A29" s="539" t="s">
        <v>419</v>
      </c>
    </row>
    <row r="30" spans="1:24">
      <c r="A30" s="540" t="s">
        <v>474</v>
      </c>
    </row>
    <row r="31" spans="1:24">
      <c r="A31" s="541" t="s">
        <v>481</v>
      </c>
    </row>
    <row r="32" spans="1:24">
      <c r="A32" s="540" t="s">
        <v>475</v>
      </c>
    </row>
    <row r="33" spans="1:1">
      <c r="A33" s="542" t="s">
        <v>476</v>
      </c>
    </row>
    <row r="34" spans="1:1">
      <c r="A34" s="542" t="s">
        <v>477</v>
      </c>
    </row>
    <row r="35" spans="1:1">
      <c r="A35" s="542" t="s">
        <v>478</v>
      </c>
    </row>
  </sheetData>
  <sheetProtection password="CF47" sheet="1" objects="1" scenarios="1"/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5</vt:i4>
      </vt:variant>
    </vt:vector>
  </HeadingPairs>
  <TitlesOfParts>
    <vt:vector size="19" baseType="lpstr">
      <vt:lpstr>1.Datos</vt:lpstr>
      <vt:lpstr>2.Invent</vt:lpstr>
      <vt:lpstr>3.Nacim</vt:lpstr>
      <vt:lpstr>4.Muertes</vt:lpstr>
      <vt:lpstr>5.Indices</vt:lpstr>
      <vt:lpstr>6.Procreo</vt:lpstr>
      <vt:lpstr>7.Bienes</vt:lpstr>
      <vt:lpstr>8.Forrajes</vt:lpstr>
      <vt:lpstr>9.MdO</vt:lpstr>
      <vt:lpstr>10.GD</vt:lpstr>
      <vt:lpstr>11.Estr</vt:lpstr>
      <vt:lpstr>12.Resultados</vt:lpstr>
      <vt:lpstr>Anexo 1</vt:lpstr>
      <vt:lpstr>Dudas</vt:lpstr>
      <vt:lpstr>ADPV</vt:lpstr>
      <vt:lpstr>ADPVHEMBRAS</vt:lpstr>
      <vt:lpstr>ADPVMACHOS</vt:lpstr>
      <vt:lpstr>MESGEST</vt:lpstr>
      <vt:lpstr>MESLACT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Amilcar Arzubi</dc:creator>
  <cp:lastModifiedBy>Ruy Vidal</cp:lastModifiedBy>
  <cp:lastPrinted>2021-07-13T01:53:22Z</cp:lastPrinted>
  <dcterms:created xsi:type="dcterms:W3CDTF">2021-03-01T23:14:22Z</dcterms:created>
  <dcterms:modified xsi:type="dcterms:W3CDTF">2024-11-05T17:39:57Z</dcterms:modified>
</cp:coreProperties>
</file>